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785" yWindow="-15" windowWidth="10620" windowHeight="11865" activeTab="2"/>
    <workbookView xWindow="-15" yWindow="-15" windowWidth="10800" windowHeight="11865" activeTab="1"/>
  </bookViews>
  <sheets>
    <sheet name="Random(Non-User)" sheetId="7" r:id="rId1"/>
    <sheet name="User_selected(2)" sheetId="8" r:id="rId2"/>
    <sheet name="94characters" sheetId="1" r:id="rId3"/>
    <sheet name="10 characters" sheetId="4" r:id="rId4"/>
  </sheets>
  <calcPr calcId="125725"/>
</workbook>
</file>

<file path=xl/calcChain.xml><?xml version="1.0" encoding="utf-8"?>
<calcChain xmlns="http://schemas.openxmlformats.org/spreadsheetml/2006/main">
  <c r="M31" i="8"/>
  <c r="N31" s="1"/>
  <c r="O31" s="1"/>
  <c r="P31" s="1"/>
  <c r="I31"/>
  <c r="K31" s="1"/>
  <c r="H31"/>
  <c r="J31" s="1"/>
  <c r="C31"/>
  <c r="M30"/>
  <c r="N30" s="1"/>
  <c r="O30" s="1"/>
  <c r="P30" s="1"/>
  <c r="I30"/>
  <c r="K30" s="1"/>
  <c r="H30"/>
  <c r="J30" s="1"/>
  <c r="C30"/>
  <c r="I29"/>
  <c r="M29" s="1"/>
  <c r="N29" s="1"/>
  <c r="O29" s="1"/>
  <c r="P29" s="1"/>
  <c r="H29"/>
  <c r="J29" s="1"/>
  <c r="C29"/>
  <c r="M28"/>
  <c r="N28" s="1"/>
  <c r="O28" s="1"/>
  <c r="P28" s="1"/>
  <c r="I28"/>
  <c r="K28" s="1"/>
  <c r="H28"/>
  <c r="J28" s="1"/>
  <c r="C28"/>
  <c r="I27"/>
  <c r="M27" s="1"/>
  <c r="N27" s="1"/>
  <c r="O27" s="1"/>
  <c r="P27" s="1"/>
  <c r="H27"/>
  <c r="J27" s="1"/>
  <c r="I26"/>
  <c r="M26" s="1"/>
  <c r="N26" s="1"/>
  <c r="O26" s="1"/>
  <c r="P26" s="1"/>
  <c r="H26"/>
  <c r="J26" s="1"/>
  <c r="I25"/>
  <c r="M25" s="1"/>
  <c r="N25" s="1"/>
  <c r="O25" s="1"/>
  <c r="P25" s="1"/>
  <c r="H25"/>
  <c r="J25" s="1"/>
  <c r="I24"/>
  <c r="M24" s="1"/>
  <c r="N24" s="1"/>
  <c r="O24" s="1"/>
  <c r="P24" s="1"/>
  <c r="H24"/>
  <c r="J24" s="1"/>
  <c r="I23"/>
  <c r="M23" s="1"/>
  <c r="N23" s="1"/>
  <c r="O23" s="1"/>
  <c r="P23" s="1"/>
  <c r="H23"/>
  <c r="J23" s="1"/>
  <c r="I22"/>
  <c r="M22" s="1"/>
  <c r="N22" s="1"/>
  <c r="O22" s="1"/>
  <c r="P22" s="1"/>
  <c r="H22"/>
  <c r="J22" s="1"/>
  <c r="I21"/>
  <c r="K21" s="1"/>
  <c r="H21"/>
  <c r="J21" s="1"/>
  <c r="I20"/>
  <c r="K20" s="1"/>
  <c r="H20"/>
  <c r="J20" s="1"/>
  <c r="I19"/>
  <c r="K19" s="1"/>
  <c r="H19"/>
  <c r="J19" s="1"/>
  <c r="I18"/>
  <c r="K18" s="1"/>
  <c r="H18"/>
  <c r="J18" s="1"/>
  <c r="N12"/>
  <c r="Q9"/>
  <c r="R12" s="1"/>
  <c r="C34" i="1"/>
  <c r="C33"/>
  <c r="N12" i="7"/>
  <c r="M31"/>
  <c r="N31" s="1"/>
  <c r="O31" s="1"/>
  <c r="P31" s="1"/>
  <c r="I31"/>
  <c r="K31" s="1"/>
  <c r="H31"/>
  <c r="J31" s="1"/>
  <c r="C31"/>
  <c r="I30"/>
  <c r="K30" s="1"/>
  <c r="H30"/>
  <c r="J30" s="1"/>
  <c r="C30"/>
  <c r="M29"/>
  <c r="N29" s="1"/>
  <c r="O29" s="1"/>
  <c r="P29" s="1"/>
  <c r="I29"/>
  <c r="K29" s="1"/>
  <c r="H29"/>
  <c r="J29" s="1"/>
  <c r="C29"/>
  <c r="I28"/>
  <c r="K28" s="1"/>
  <c r="H28"/>
  <c r="J28" s="1"/>
  <c r="C28"/>
  <c r="M27"/>
  <c r="N27" s="1"/>
  <c r="O27" s="1"/>
  <c r="P27" s="1"/>
  <c r="I27"/>
  <c r="K27" s="1"/>
  <c r="H27"/>
  <c r="J27" s="1"/>
  <c r="M26"/>
  <c r="N26" s="1"/>
  <c r="O26" s="1"/>
  <c r="P26" s="1"/>
  <c r="I26"/>
  <c r="K26" s="1"/>
  <c r="H26"/>
  <c r="J26" s="1"/>
  <c r="M25"/>
  <c r="N25" s="1"/>
  <c r="O25" s="1"/>
  <c r="P25" s="1"/>
  <c r="I25"/>
  <c r="K25" s="1"/>
  <c r="H25"/>
  <c r="J25" s="1"/>
  <c r="M24"/>
  <c r="N24" s="1"/>
  <c r="O24" s="1"/>
  <c r="P24" s="1"/>
  <c r="I24"/>
  <c r="K24" s="1"/>
  <c r="H24"/>
  <c r="J24" s="1"/>
  <c r="M23"/>
  <c r="N23" s="1"/>
  <c r="O23" s="1"/>
  <c r="P23" s="1"/>
  <c r="I23"/>
  <c r="K23" s="1"/>
  <c r="H23"/>
  <c r="J23" s="1"/>
  <c r="M22"/>
  <c r="N22" s="1"/>
  <c r="O22" s="1"/>
  <c r="P22" s="1"/>
  <c r="I22"/>
  <c r="K22" s="1"/>
  <c r="H22"/>
  <c r="J22" s="1"/>
  <c r="I21"/>
  <c r="K21" s="1"/>
  <c r="H21"/>
  <c r="J21" s="1"/>
  <c r="I20"/>
  <c r="K20" s="1"/>
  <c r="H20"/>
  <c r="J20" s="1"/>
  <c r="I19"/>
  <c r="K19" s="1"/>
  <c r="H19"/>
  <c r="J19" s="1"/>
  <c r="I18"/>
  <c r="K18" s="1"/>
  <c r="H18"/>
  <c r="J18" s="1"/>
  <c r="Q9"/>
  <c r="R12" s="1"/>
  <c r="I24" i="1"/>
  <c r="I26"/>
  <c r="I28"/>
  <c r="G27"/>
  <c r="I27" s="1"/>
  <c r="G26"/>
  <c r="H26" s="1"/>
  <c r="G25"/>
  <c r="I25" s="1"/>
  <c r="G24"/>
  <c r="H24" s="1"/>
  <c r="G29"/>
  <c r="I29" s="1"/>
  <c r="G28"/>
  <c r="H28" s="1"/>
  <c r="G30"/>
  <c r="I30" s="1"/>
  <c r="K7" i="4"/>
  <c r="K8"/>
  <c r="K9"/>
  <c r="K10"/>
  <c r="K6"/>
  <c r="J7"/>
  <c r="J6"/>
  <c r="G7"/>
  <c r="G8"/>
  <c r="H8" s="1"/>
  <c r="J8" s="1"/>
  <c r="G9"/>
  <c r="G10"/>
  <c r="G11"/>
  <c r="G12"/>
  <c r="I12" s="1"/>
  <c r="K12" s="1"/>
  <c r="G13"/>
  <c r="G14"/>
  <c r="G15"/>
  <c r="I15" s="1"/>
  <c r="K15" s="1"/>
  <c r="G16"/>
  <c r="H16" s="1"/>
  <c r="J16" s="1"/>
  <c r="G17"/>
  <c r="G18"/>
  <c r="I18" s="1"/>
  <c r="K18" s="1"/>
  <c r="G19"/>
  <c r="I14"/>
  <c r="K14" s="1"/>
  <c r="G6"/>
  <c r="H19"/>
  <c r="J19" s="1"/>
  <c r="H17"/>
  <c r="J17" s="1"/>
  <c r="H15"/>
  <c r="J15" s="1"/>
  <c r="C29"/>
  <c r="C28"/>
  <c r="I13"/>
  <c r="K13" s="1"/>
  <c r="I11"/>
  <c r="K11" s="1"/>
  <c r="H9"/>
  <c r="J9" s="1"/>
  <c r="K6" i="1"/>
  <c r="C29"/>
  <c r="C28"/>
  <c r="G38"/>
  <c r="H38" s="1"/>
  <c r="J38" s="1"/>
  <c r="G39"/>
  <c r="I39" s="1"/>
  <c r="K39" s="1"/>
  <c r="G40"/>
  <c r="G41"/>
  <c r="I41" s="1"/>
  <c r="K41" s="1"/>
  <c r="G42"/>
  <c r="I42" s="1"/>
  <c r="K42" s="1"/>
  <c r="G43"/>
  <c r="I43" s="1"/>
  <c r="K43" s="1"/>
  <c r="G37"/>
  <c r="I37" s="1"/>
  <c r="K37" s="1"/>
  <c r="G19"/>
  <c r="I19" s="1"/>
  <c r="G20"/>
  <c r="I20" s="1"/>
  <c r="K20" s="1"/>
  <c r="G21"/>
  <c r="I21" s="1"/>
  <c r="G22"/>
  <c r="G23"/>
  <c r="I23" s="1"/>
  <c r="G31"/>
  <c r="I31" s="1"/>
  <c r="G18"/>
  <c r="I18" s="1"/>
  <c r="K18" s="1"/>
  <c r="G12"/>
  <c r="H12" s="1"/>
  <c r="J12" s="1"/>
  <c r="G6"/>
  <c r="G7"/>
  <c r="G8"/>
  <c r="G9"/>
  <c r="I9" s="1"/>
  <c r="K9" s="1"/>
  <c r="G10"/>
  <c r="K7"/>
  <c r="G11"/>
  <c r="I11" s="1"/>
  <c r="K11" s="1"/>
  <c r="H40"/>
  <c r="J40" s="1"/>
  <c r="H11"/>
  <c r="J11" s="1"/>
  <c r="H10"/>
  <c r="J10" s="1"/>
  <c r="I10"/>
  <c r="K10" s="1"/>
  <c r="H8"/>
  <c r="J8" s="1"/>
  <c r="R11" i="8" l="1"/>
  <c r="K22"/>
  <c r="K23"/>
  <c r="K24"/>
  <c r="K25"/>
  <c r="K26"/>
  <c r="K27"/>
  <c r="K29"/>
  <c r="H18" i="1"/>
  <c r="J18" s="1"/>
  <c r="H31"/>
  <c r="H30"/>
  <c r="H29"/>
  <c r="H27"/>
  <c r="J27" s="1"/>
  <c r="H25"/>
  <c r="H23"/>
  <c r="J23" s="1"/>
  <c r="H22"/>
  <c r="J22" s="1"/>
  <c r="H21"/>
  <c r="J21" s="1"/>
  <c r="H20"/>
  <c r="H19"/>
  <c r="J19" s="1"/>
  <c r="I22"/>
  <c r="K22" s="1"/>
  <c r="R11" i="7"/>
  <c r="M28"/>
  <c r="N28" s="1"/>
  <c r="O28" s="1"/>
  <c r="P28" s="1"/>
  <c r="M30"/>
  <c r="N30" s="1"/>
  <c r="O30" s="1"/>
  <c r="P30" s="1"/>
  <c r="J31" i="1"/>
  <c r="J20"/>
  <c r="H37"/>
  <c r="J37" s="1"/>
  <c r="K25"/>
  <c r="N25"/>
  <c r="O25" s="1"/>
  <c r="P25" s="1"/>
  <c r="K27"/>
  <c r="N27"/>
  <c r="O27" s="1"/>
  <c r="P27" s="1"/>
  <c r="K24"/>
  <c r="N24"/>
  <c r="O24" s="1"/>
  <c r="P24" s="1"/>
  <c r="K26"/>
  <c r="N26"/>
  <c r="O26" s="1"/>
  <c r="P26" s="1"/>
  <c r="J24"/>
  <c r="J25"/>
  <c r="J26"/>
  <c r="K29"/>
  <c r="N29"/>
  <c r="O29" s="1"/>
  <c r="P29" s="1"/>
  <c r="K28"/>
  <c r="N28"/>
  <c r="O28" s="1"/>
  <c r="P28" s="1"/>
  <c r="J28"/>
  <c r="J29"/>
  <c r="H41"/>
  <c r="J41" s="1"/>
  <c r="K30"/>
  <c r="N30"/>
  <c r="O30" s="1"/>
  <c r="P30" s="1"/>
  <c r="N42"/>
  <c r="O42" s="1"/>
  <c r="P42" s="1"/>
  <c r="J30"/>
  <c r="N22"/>
  <c r="O22" s="1"/>
  <c r="P22" s="1"/>
  <c r="N41"/>
  <c r="O41" s="1"/>
  <c r="P41" s="1"/>
  <c r="N43"/>
  <c r="O43" s="1"/>
  <c r="P43" s="1"/>
  <c r="I16" i="4"/>
  <c r="K16" s="1"/>
  <c r="H12"/>
  <c r="J12" s="1"/>
  <c r="H10"/>
  <c r="J10" s="1"/>
  <c r="H14"/>
  <c r="J14" s="1"/>
  <c r="H18"/>
  <c r="J18" s="1"/>
  <c r="I17"/>
  <c r="K17" s="1"/>
  <c r="I19"/>
  <c r="K19" s="1"/>
  <c r="H11"/>
  <c r="J11" s="1"/>
  <c r="H13"/>
  <c r="J13" s="1"/>
  <c r="N31" i="1"/>
  <c r="H39"/>
  <c r="J39" s="1"/>
  <c r="H43"/>
  <c r="J43" s="1"/>
  <c r="I38"/>
  <c r="K38" s="1"/>
  <c r="I40"/>
  <c r="K40" s="1"/>
  <c r="H42"/>
  <c r="J42" s="1"/>
  <c r="K19"/>
  <c r="K21"/>
  <c r="I12"/>
  <c r="K12" s="1"/>
  <c r="I8"/>
  <c r="K8" s="1"/>
  <c r="H6"/>
  <c r="J6" s="1"/>
  <c r="H9"/>
  <c r="J9" s="1"/>
  <c r="H7"/>
  <c r="J7" s="1"/>
  <c r="K23" l="1"/>
  <c r="N23"/>
  <c r="O23" s="1"/>
  <c r="P23" s="1"/>
  <c r="K31"/>
  <c r="O31"/>
  <c r="P31" s="1"/>
</calcChain>
</file>

<file path=xl/sharedStrings.xml><?xml version="1.0" encoding="utf-8"?>
<sst xmlns="http://schemas.openxmlformats.org/spreadsheetml/2006/main" count="206" uniqueCount="82">
  <si>
    <t>Length</t>
  </si>
  <si>
    <t>Attempts before lockout</t>
  </si>
  <si>
    <t>LOA1 (2^-10)</t>
  </si>
  <si>
    <t>LOA2 (2^-14)</t>
  </si>
  <si>
    <t>Lockout duration (minutes)</t>
  </si>
  <si>
    <t>Life of Password in days (before forced change)</t>
  </si>
  <si>
    <t>Lifetime (days)</t>
  </si>
  <si>
    <t>guesses</t>
  </si>
  <si>
    <t>Lockout (hours)</t>
  </si>
  <si>
    <t>Tables for Self-Selected Passwords</t>
  </si>
  <si>
    <t>LOA 1</t>
  </si>
  <si>
    <t>LOA 2</t>
  </si>
  <si>
    <t xml:space="preserve"> (bits)</t>
  </si>
  <si>
    <t>Inherient Entropy</t>
  </si>
  <si>
    <t>94 characters set</t>
  </si>
  <si>
    <t>94 characters set, Plus complexity rules</t>
  </si>
  <si>
    <t>94 characters set, Plus complexity rules, Plus password-dictionary checks</t>
  </si>
  <si>
    <t xml:space="preserve">1 min = </t>
  </si>
  <si>
    <t>5 min =</t>
  </si>
  <si>
    <t xml:space="preserve">lifetime guesses for </t>
  </si>
  <si>
    <t>lifetime guesses for</t>
  </si>
  <si>
    <t>seconds</t>
  </si>
  <si>
    <t>hours</t>
  </si>
  <si>
    <t>days</t>
  </si>
  <si>
    <t>Guesses per second</t>
  </si>
  <si>
    <t>Pin (10 Character set)</t>
  </si>
  <si>
    <t>Characters</t>
  </si>
  <si>
    <t>Entropy</t>
  </si>
  <si>
    <t>Apply the following -</t>
  </si>
  <si>
    <t xml:space="preserve">brute force for the # of guesses.  Bad guy calls in and gets reset w/o credentials. </t>
  </si>
  <si>
    <t>PINS (10 characters)</t>
  </si>
  <si>
    <t>allows run of all same character</t>
  </si>
  <si>
    <t>prevent recurring series</t>
  </si>
  <si>
    <t>prevent more than 3 of any given character</t>
  </si>
  <si>
    <t>prevent known information, such as phone number, DOB, SSN. Others)</t>
  </si>
  <si>
    <t>1~3</t>
  </si>
  <si>
    <t>add bits</t>
  </si>
  <si>
    <t>for controls</t>
  </si>
  <si>
    <t xml:space="preserve"> + bonus (bits)</t>
  </si>
  <si>
    <t>Bonuses for This system</t>
  </si>
  <si>
    <t>bad guy trys again but then waits 3 weeks before doing this again with the calling in included</t>
  </si>
  <si>
    <t>if there is no lockout, and</t>
  </si>
  <si>
    <t xml:space="preserve">is = </t>
  </si>
  <si>
    <t>Online guessing rate of attack</t>
  </si>
  <si>
    <t>a-z</t>
  </si>
  <si>
    <t>A-Z</t>
  </si>
  <si>
    <t>spc</t>
  </si>
  <si>
    <t>0-9</t>
  </si>
  <si>
    <t>shft0-9</t>
  </si>
  <si>
    <t>others</t>
  </si>
  <si>
    <t>H=log(base2) (b^l)</t>
  </si>
  <si>
    <t>H=</t>
  </si>
  <si>
    <t>Tables for Randomly-Selected Passwords</t>
  </si>
  <si>
    <t>then, time to lose LOA2 is:</t>
  </si>
  <si>
    <t>H18-($C$3*($D$3*24*60)/($B$3*60))</t>
  </si>
  <si>
    <t>total-(guesses*(days-live*(hrs/day))/hours-wait)</t>
  </si>
  <si>
    <t>blue</t>
  </si>
  <si>
    <t>cell</t>
  </si>
  <si>
    <t>indicates</t>
  </si>
  <si>
    <t>approx</t>
  </si>
  <si>
    <t>range</t>
  </si>
  <si>
    <t xml:space="preserve">for </t>
  </si>
  <si>
    <t>your</t>
  </si>
  <si>
    <t>"b" &amp; "l"</t>
  </si>
  <si>
    <t>Note:</t>
  </si>
  <si>
    <t>min</t>
  </si>
  <si>
    <t>max</t>
  </si>
  <si>
    <t>2 years=</t>
  </si>
  <si>
    <t>1.5 years=</t>
  </si>
  <si>
    <t>formula information:</t>
  </si>
  <si>
    <t>low</t>
  </si>
  <si>
    <t>high</t>
  </si>
  <si>
    <t>years</t>
  </si>
  <si>
    <t>slide to Password length (l)</t>
  </si>
  <si>
    <t>(max)</t>
  </si>
  <si>
    <t xml:space="preserve"> enter your character set size (b)</t>
  </si>
  <si>
    <t>Inherent Entropy</t>
  </si>
  <si>
    <t>The No Lockout table</t>
  </si>
  <si>
    <t>Year</t>
  </si>
  <si>
    <t>18 months</t>
  </si>
  <si>
    <t>2 years</t>
  </si>
  <si>
    <t>represents: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</si>
</sst>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indexed="61"/>
      <name val="Arial"/>
      <family val="2"/>
    </font>
    <font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2" borderId="45" applyNumberFormat="0" applyFont="0" applyAlignment="0" applyProtection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4" fillId="4" borderId="6" xfId="2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/>
    <xf numFmtId="0" fontId="0" fillId="0" borderId="6" xfId="0" applyBorder="1"/>
    <xf numFmtId="0" fontId="0" fillId="0" borderId="11" xfId="0" applyBorder="1"/>
    <xf numFmtId="0" fontId="5" fillId="0" borderId="0" xfId="3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4" fillId="5" borderId="18" xfId="1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0" xfId="0" applyNumberFormat="1"/>
    <xf numFmtId="11" fontId="0" fillId="0" borderId="0" xfId="0" applyNumberFormat="1"/>
    <xf numFmtId="0" fontId="7" fillId="0" borderId="0" xfId="0" applyFont="1" applyAlignment="1" applyProtection="1">
      <alignment horizontal="center"/>
      <protection locked="0"/>
    </xf>
    <xf numFmtId="0" fontId="6" fillId="6" borderId="0" xfId="4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Fill="1" applyBorder="1"/>
    <xf numFmtId="0" fontId="0" fillId="0" borderId="33" xfId="0" applyBorder="1"/>
    <xf numFmtId="0" fontId="0" fillId="0" borderId="34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Fill="1" applyBorder="1"/>
    <xf numFmtId="0" fontId="0" fillId="0" borderId="38" xfId="0" applyBorder="1"/>
    <xf numFmtId="0" fontId="0" fillId="0" borderId="39" xfId="0" applyBorder="1"/>
    <xf numFmtId="0" fontId="0" fillId="7" borderId="0" xfId="0" applyFill="1" applyBorder="1"/>
    <xf numFmtId="0" fontId="0" fillId="7" borderId="0" xfId="0" applyFill="1"/>
    <xf numFmtId="0" fontId="4" fillId="0" borderId="0" xfId="2" applyFont="1" applyFill="1" applyBorder="1"/>
    <xf numFmtId="0" fontId="4" fillId="0" borderId="0" xfId="1" applyFont="1" applyFill="1" applyBorder="1"/>
    <xf numFmtId="0" fontId="0" fillId="0" borderId="40" xfId="0" applyBorder="1"/>
    <xf numFmtId="0" fontId="0" fillId="8" borderId="0" xfId="0" applyFill="1"/>
    <xf numFmtId="0" fontId="8" fillId="0" borderId="0" xfId="0" applyFont="1"/>
    <xf numFmtId="0" fontId="0" fillId="0" borderId="41" xfId="0" applyFill="1" applyBorder="1"/>
    <xf numFmtId="0" fontId="0" fillId="0" borderId="42" xfId="0" applyFill="1" applyBorder="1"/>
    <xf numFmtId="0" fontId="0" fillId="0" borderId="43" xfId="0" applyBorder="1"/>
    <xf numFmtId="0" fontId="0" fillId="0" borderId="44" xfId="0" applyBorder="1"/>
    <xf numFmtId="0" fontId="0" fillId="5" borderId="41" xfId="0" applyFill="1" applyBorder="1"/>
    <xf numFmtId="0" fontId="0" fillId="5" borderId="43" xfId="0" applyFill="1" applyBorder="1"/>
    <xf numFmtId="0" fontId="0" fillId="5" borderId="36" xfId="0" applyFill="1" applyBorder="1"/>
    <xf numFmtId="0" fontId="0" fillId="8" borderId="0" xfId="0" applyFill="1" applyAlignment="1">
      <alignment horizontal="right"/>
    </xf>
    <xf numFmtId="0" fontId="0" fillId="9" borderId="0" xfId="0" applyFill="1"/>
    <xf numFmtId="0" fontId="0" fillId="10" borderId="0" xfId="0" applyFill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12" borderId="45" xfId="5" applyFont="1"/>
    <xf numFmtId="0" fontId="0" fillId="0" borderId="0" xfId="0" applyFill="1"/>
    <xf numFmtId="11" fontId="0" fillId="0" borderId="0" xfId="0" applyNumberFormat="1" applyBorder="1"/>
    <xf numFmtId="0" fontId="0" fillId="0" borderId="46" xfId="0" applyBorder="1"/>
    <xf numFmtId="0" fontId="0" fillId="0" borderId="47" xfId="0" applyBorder="1"/>
    <xf numFmtId="0" fontId="0" fillId="0" borderId="47" xfId="0" applyFill="1" applyBorder="1"/>
    <xf numFmtId="0" fontId="0" fillId="0" borderId="48" xfId="0" applyBorder="1"/>
  </cellXfs>
  <cellStyles count="6">
    <cellStyle name="40% - Accent1" xfId="4" builtinId="31"/>
    <cellStyle name="Good" xfId="1" builtinId="26"/>
    <cellStyle name="Neutral" xfId="2" builtinId="28"/>
    <cellStyle name="Normal" xfId="0" builtinId="0"/>
    <cellStyle name="Note" xfId="5" builtinId="10"/>
    <cellStyle name="Title" xfId="3" builtinId="15"/>
  </cellStyles>
  <dxfs count="83"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90" zoomScaleNormal="90" workbookViewId="0">
      <selection activeCell="O6" sqref="O6"/>
    </sheetView>
    <sheetView workbookViewId="1"/>
  </sheetViews>
  <sheetFormatPr defaultRowHeight="15"/>
  <cols>
    <col min="1" max="1" width="5.7109375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  <col min="15" max="15" width="12" customWidth="1"/>
  </cols>
  <sheetData>
    <row r="1" spans="1:18" ht="22.5">
      <c r="F1" s="16" t="s">
        <v>52</v>
      </c>
    </row>
    <row r="2" spans="1:18" ht="18.75">
      <c r="B2" s="68" t="s">
        <v>8</v>
      </c>
      <c r="C2" s="69" t="s">
        <v>7</v>
      </c>
      <c r="D2" s="70" t="s">
        <v>6</v>
      </c>
      <c r="E2" s="2"/>
      <c r="G2" s="13"/>
      <c r="H2" s="2"/>
      <c r="I2" s="2"/>
      <c r="K2" s="24"/>
    </row>
    <row r="3" spans="1:18" ht="18.75">
      <c r="B3" s="71">
        <v>0.25</v>
      </c>
      <c r="C3" s="72">
        <v>42</v>
      </c>
      <c r="D3" s="73">
        <v>3650</v>
      </c>
      <c r="E3" s="2"/>
      <c r="F3" s="25"/>
      <c r="G3" s="24"/>
      <c r="H3" s="24"/>
      <c r="I3" s="24"/>
      <c r="J3" s="24"/>
      <c r="K3" s="1" t="s">
        <v>73</v>
      </c>
      <c r="L3" s="74">
        <v>8</v>
      </c>
    </row>
    <row r="4" spans="1:18">
      <c r="A4" s="55" t="s">
        <v>65</v>
      </c>
      <c r="B4" s="55"/>
      <c r="C4" s="55"/>
      <c r="D4" s="55"/>
      <c r="E4" s="2"/>
      <c r="F4" s="24"/>
      <c r="G4" s="24"/>
      <c r="H4" s="24"/>
      <c r="K4" s="74">
        <v>1</v>
      </c>
      <c r="L4" s="74"/>
      <c r="O4" s="1" t="s">
        <v>75</v>
      </c>
    </row>
    <row r="5" spans="1:18">
      <c r="B5" s="59"/>
      <c r="C5" s="69"/>
      <c r="D5" s="70"/>
      <c r="E5" s="2"/>
      <c r="F5" s="24"/>
      <c r="G5" s="24"/>
      <c r="H5" s="24"/>
      <c r="I5" s="24"/>
      <c r="J5" s="24"/>
      <c r="L5" s="74"/>
      <c r="O5" s="81">
        <v>95</v>
      </c>
    </row>
    <row r="6" spans="1:18">
      <c r="B6" s="59"/>
      <c r="C6" s="69"/>
      <c r="D6" s="70"/>
      <c r="E6" s="2"/>
      <c r="F6" s="24"/>
      <c r="H6" s="24"/>
      <c r="I6" s="24"/>
      <c r="J6" s="24"/>
      <c r="K6" s="24"/>
      <c r="L6" s="74"/>
      <c r="M6" s="75" t="s">
        <v>44</v>
      </c>
      <c r="N6" s="76">
        <v>26</v>
      </c>
    </row>
    <row r="7" spans="1:18">
      <c r="B7" s="59"/>
      <c r="C7" s="69"/>
      <c r="D7" s="70"/>
      <c r="E7" s="2"/>
      <c r="F7" s="24"/>
      <c r="H7" s="24"/>
      <c r="I7" s="24"/>
      <c r="J7" s="24"/>
      <c r="K7" s="24"/>
      <c r="L7" s="74"/>
      <c r="M7" s="77" t="s">
        <v>45</v>
      </c>
      <c r="N7" s="78">
        <v>26</v>
      </c>
      <c r="P7" t="s">
        <v>50</v>
      </c>
      <c r="Q7" s="1"/>
    </row>
    <row r="8" spans="1:18">
      <c r="B8" s="59"/>
      <c r="C8" s="69"/>
      <c r="D8" s="70"/>
      <c r="E8" s="2"/>
      <c r="F8" s="24"/>
      <c r="G8" s="24"/>
      <c r="H8" s="24"/>
      <c r="I8" s="24"/>
      <c r="J8" s="24"/>
      <c r="K8" s="24"/>
      <c r="L8" s="74"/>
      <c r="M8" s="77" t="s">
        <v>46</v>
      </c>
      <c r="N8" s="78">
        <v>1</v>
      </c>
    </row>
    <row r="9" spans="1:18">
      <c r="B9" s="59"/>
      <c r="C9" s="69"/>
      <c r="D9" s="70"/>
      <c r="E9" s="2"/>
      <c r="F9" s="24"/>
      <c r="G9" s="24"/>
      <c r="H9" s="24"/>
      <c r="I9" s="24"/>
      <c r="J9" s="24"/>
      <c r="K9" s="24"/>
      <c r="L9" s="74"/>
      <c r="M9" s="77" t="s">
        <v>47</v>
      </c>
      <c r="N9" s="78">
        <v>10</v>
      </c>
      <c r="P9" t="s">
        <v>51</v>
      </c>
      <c r="Q9">
        <f>LOG((O5^L3),2)</f>
        <v>52.558844866647583</v>
      </c>
    </row>
    <row r="10" spans="1:18">
      <c r="B10" s="59"/>
      <c r="C10" s="69"/>
      <c r="D10" s="70"/>
      <c r="E10" s="2"/>
      <c r="F10" s="24"/>
      <c r="G10" s="24"/>
      <c r="H10" s="24"/>
      <c r="I10" s="24"/>
      <c r="J10" s="24"/>
      <c r="K10" s="24"/>
      <c r="L10" s="74"/>
      <c r="M10" s="77" t="s">
        <v>48</v>
      </c>
      <c r="N10" s="78">
        <v>10</v>
      </c>
    </row>
    <row r="11" spans="1:18">
      <c r="B11" s="59"/>
      <c r="C11" s="69"/>
      <c r="D11" s="70"/>
      <c r="E11" s="2"/>
      <c r="F11" s="24"/>
      <c r="G11" s="24"/>
      <c r="H11" s="82"/>
      <c r="I11" s="24"/>
      <c r="J11" s="24"/>
      <c r="K11" s="24"/>
      <c r="L11" s="74"/>
      <c r="M11" s="79" t="s">
        <v>49</v>
      </c>
      <c r="N11" s="80">
        <v>22</v>
      </c>
      <c r="Q11" s="60" t="s">
        <v>70</v>
      </c>
      <c r="R11" s="60">
        <f>-3+ROUND(Q9,0)</f>
        <v>50</v>
      </c>
    </row>
    <row r="12" spans="1:18">
      <c r="B12" s="59"/>
      <c r="C12" s="69"/>
      <c r="D12" s="70"/>
      <c r="E12" s="2"/>
      <c r="F12" s="24"/>
      <c r="G12" s="24"/>
      <c r="H12" s="24"/>
      <c r="I12" s="24"/>
      <c r="J12" s="24"/>
      <c r="K12" s="24"/>
      <c r="L12" s="74"/>
      <c r="M12" s="1" t="s">
        <v>74</v>
      </c>
      <c r="N12">
        <f>SUM(N6:N11)</f>
        <v>95</v>
      </c>
      <c r="Q12" s="60" t="s">
        <v>71</v>
      </c>
      <c r="R12" s="60">
        <f>3+ROUND(Q9,0)</f>
        <v>56</v>
      </c>
    </row>
    <row r="13" spans="1:18">
      <c r="B13" s="59"/>
      <c r="C13" s="69"/>
      <c r="D13" s="70"/>
      <c r="E13" s="2"/>
      <c r="I13" s="2"/>
      <c r="K13" s="74">
        <v>24</v>
      </c>
      <c r="L13" s="74"/>
    </row>
    <row r="14" spans="1:18">
      <c r="B14" s="59"/>
      <c r="C14" s="69"/>
      <c r="D14" s="70"/>
      <c r="E14" s="2"/>
      <c r="F14" s="2"/>
      <c r="G14" s="2"/>
      <c r="H14" s="2"/>
      <c r="I14" s="2"/>
      <c r="O14" s="34"/>
      <c r="P14" s="49"/>
    </row>
    <row r="15" spans="1:18" ht="19.5" thickBot="1">
      <c r="B15" s="59"/>
      <c r="C15" s="69"/>
      <c r="D15" s="70"/>
      <c r="E15" s="24"/>
      <c r="F15" s="13"/>
      <c r="G15" s="9"/>
      <c r="J15" s="3"/>
      <c r="K15" s="3"/>
      <c r="L15" s="24"/>
      <c r="M15" s="43" t="s">
        <v>41</v>
      </c>
      <c r="N15" s="44"/>
      <c r="O15" s="44"/>
      <c r="P15" s="45"/>
      <c r="Q15" s="55" t="s">
        <v>43</v>
      </c>
    </row>
    <row r="16" spans="1:18" ht="15.75" thickTop="1">
      <c r="B16" s="59"/>
      <c r="C16" s="69"/>
      <c r="D16" s="70"/>
      <c r="E16" s="24"/>
      <c r="F16" s="19"/>
      <c r="G16" s="14" t="s">
        <v>13</v>
      </c>
      <c r="H16" s="14" t="s">
        <v>19</v>
      </c>
      <c r="I16" s="5" t="s">
        <v>20</v>
      </c>
      <c r="J16" s="8" t="s">
        <v>2</v>
      </c>
      <c r="K16" s="28" t="s">
        <v>3</v>
      </c>
      <c r="L16" s="24"/>
      <c r="M16" s="46"/>
      <c r="N16" s="2" t="s">
        <v>24</v>
      </c>
      <c r="O16" s="2"/>
      <c r="P16" s="47"/>
      <c r="Q16" s="55"/>
    </row>
    <row r="17" spans="1:18" ht="15.75" thickBot="1">
      <c r="B17" s="59"/>
      <c r="C17" s="69"/>
      <c r="D17" s="70"/>
      <c r="E17" s="24"/>
      <c r="F17" s="15"/>
      <c r="G17" s="18" t="s">
        <v>12</v>
      </c>
      <c r="H17" s="9" t="s">
        <v>10</v>
      </c>
      <c r="I17" s="4" t="s">
        <v>11</v>
      </c>
      <c r="J17" s="12">
        <v>10</v>
      </c>
      <c r="K17" s="17">
        <v>14</v>
      </c>
      <c r="L17" s="24"/>
      <c r="M17" s="46" t="s">
        <v>42</v>
      </c>
      <c r="N17" s="54">
        <v>2</v>
      </c>
      <c r="O17" s="2"/>
      <c r="P17" s="47"/>
      <c r="Q17" s="55"/>
      <c r="R17" s="55">
        <v>2</v>
      </c>
    </row>
    <row r="18" spans="1:18" ht="15.75" thickTop="1">
      <c r="B18" s="59"/>
      <c r="C18" s="69"/>
      <c r="D18" s="70"/>
      <c r="E18" s="23"/>
      <c r="F18" s="37" t="s">
        <v>56</v>
      </c>
      <c r="G18" s="10">
        <v>20</v>
      </c>
      <c r="H18" s="10">
        <f>2^(G18-$J$17)</f>
        <v>1024</v>
      </c>
      <c r="I18" s="10">
        <f>2^(-$K$17+G18)</f>
        <v>64</v>
      </c>
      <c r="J18" s="10">
        <f>H18-($C$3*($D$3*24)/$B$3)</f>
        <v>-14715776</v>
      </c>
      <c r="K18" s="10">
        <f>I18-($C$3*($D$3*24)/$B$3)</f>
        <v>-14716736</v>
      </c>
      <c r="L18" s="24"/>
      <c r="M18" s="46"/>
      <c r="N18" s="2"/>
      <c r="O18" s="2"/>
      <c r="P18" s="47"/>
      <c r="Q18" s="55"/>
    </row>
    <row r="19" spans="1:18">
      <c r="B19" s="59"/>
      <c r="C19" s="69"/>
      <c r="D19" s="70"/>
      <c r="E19" s="23"/>
      <c r="F19" s="38" t="s">
        <v>57</v>
      </c>
      <c r="G19" s="11">
        <v>24</v>
      </c>
      <c r="H19" s="11">
        <f t="shared" ref="H19:H31" si="0">2^(G19-$J$17)</f>
        <v>16384</v>
      </c>
      <c r="I19" s="11">
        <f t="shared" ref="I19:I31" si="1">2^(-$K$17+G19)</f>
        <v>1024</v>
      </c>
      <c r="J19" s="11">
        <f t="shared" ref="J19:K31" si="2">H19-($C$3*($D$3*24)/$B$3)</f>
        <v>-14700416</v>
      </c>
      <c r="K19" s="30">
        <f t="shared" si="2"/>
        <v>-14715776</v>
      </c>
      <c r="L19" s="24"/>
      <c r="M19" s="46" t="s">
        <v>53</v>
      </c>
      <c r="N19" s="2"/>
      <c r="O19" s="2"/>
      <c r="P19" s="47"/>
      <c r="Q19" s="55"/>
    </row>
    <row r="20" spans="1:18">
      <c r="B20" s="59"/>
      <c r="C20" s="69"/>
      <c r="D20" s="70"/>
      <c r="E20" s="23"/>
      <c r="F20" s="38" t="s">
        <v>58</v>
      </c>
      <c r="G20" s="11">
        <v>28</v>
      </c>
      <c r="H20" s="11">
        <f t="shared" si="0"/>
        <v>262144</v>
      </c>
      <c r="I20" s="11">
        <f t="shared" si="1"/>
        <v>16384</v>
      </c>
      <c r="J20" s="11">
        <f t="shared" si="2"/>
        <v>-14454656</v>
      </c>
      <c r="K20" s="30">
        <f t="shared" si="2"/>
        <v>-14700416</v>
      </c>
      <c r="L20" s="24"/>
      <c r="M20" s="46"/>
      <c r="N20" s="2"/>
      <c r="O20" s="2"/>
      <c r="P20" s="47"/>
      <c r="Q20" s="55"/>
    </row>
    <row r="21" spans="1:18">
      <c r="A21" s="55" t="s">
        <v>66</v>
      </c>
      <c r="B21" s="55"/>
      <c r="C21" s="55"/>
      <c r="D21" s="55"/>
      <c r="E21" s="23"/>
      <c r="F21" s="38" t="s">
        <v>59</v>
      </c>
      <c r="G21" s="11">
        <v>32</v>
      </c>
      <c r="H21" s="11">
        <f t="shared" si="0"/>
        <v>4194304</v>
      </c>
      <c r="I21" s="11">
        <f t="shared" si="1"/>
        <v>262144</v>
      </c>
      <c r="J21" s="11">
        <f t="shared" si="2"/>
        <v>-10522496</v>
      </c>
      <c r="K21" s="30">
        <f t="shared" si="2"/>
        <v>-14454656</v>
      </c>
      <c r="L21" s="24"/>
      <c r="M21" s="65" t="s">
        <v>21</v>
      </c>
      <c r="N21" s="66" t="s">
        <v>22</v>
      </c>
      <c r="O21" s="66" t="s">
        <v>23</v>
      </c>
      <c r="P21" s="67" t="s">
        <v>72</v>
      </c>
      <c r="Q21" s="55"/>
    </row>
    <row r="22" spans="1:18">
      <c r="E22" s="23"/>
      <c r="F22" s="21" t="s">
        <v>60</v>
      </c>
      <c r="G22" s="22">
        <v>36</v>
      </c>
      <c r="H22" s="22">
        <f t="shared" si="0"/>
        <v>67108864</v>
      </c>
      <c r="I22" s="22">
        <f t="shared" si="1"/>
        <v>4194304</v>
      </c>
      <c r="J22" s="22">
        <f t="shared" si="2"/>
        <v>52392064</v>
      </c>
      <c r="K22" s="31">
        <f t="shared" si="2"/>
        <v>-10522496</v>
      </c>
      <c r="M22" s="62">
        <f t="shared" ref="M22:M31" si="3">I22/$N$17</f>
        <v>2097152</v>
      </c>
      <c r="N22" s="64">
        <f>M22/3600</f>
        <v>582.54222222222222</v>
      </c>
      <c r="O22" s="64">
        <f>N22/24</f>
        <v>24.272592592592591</v>
      </c>
      <c r="P22" s="47">
        <f>O22/365.25</f>
        <v>6.6454736735366435E-2</v>
      </c>
      <c r="Q22" s="55"/>
    </row>
    <row r="23" spans="1:18">
      <c r="E23" s="23"/>
      <c r="F23" s="39" t="s">
        <v>61</v>
      </c>
      <c r="G23" s="20">
        <v>40</v>
      </c>
      <c r="H23" s="20">
        <f t="shared" si="0"/>
        <v>1073741824</v>
      </c>
      <c r="I23" s="20">
        <f t="shared" si="1"/>
        <v>67108864</v>
      </c>
      <c r="J23" s="20">
        <f t="shared" si="2"/>
        <v>1059025024</v>
      </c>
      <c r="K23" s="32">
        <f t="shared" si="2"/>
        <v>52392064</v>
      </c>
      <c r="M23" s="62">
        <f t="shared" si="3"/>
        <v>33554432</v>
      </c>
      <c r="N23" s="64">
        <f t="shared" ref="N23:N31" si="4">M23/3600</f>
        <v>9320.6755555555555</v>
      </c>
      <c r="O23" s="64">
        <f t="shared" ref="O23:O31" si="5">N23/24</f>
        <v>388.36148148148146</v>
      </c>
      <c r="P23" s="47">
        <f t="shared" ref="P23:P31" si="6">O23/365.25</f>
        <v>1.063275787765863</v>
      </c>
      <c r="Q23" s="55"/>
    </row>
    <row r="24" spans="1:18">
      <c r="E24" s="23"/>
      <c r="F24" s="39" t="s">
        <v>62</v>
      </c>
      <c r="G24" s="41">
        <v>44</v>
      </c>
      <c r="H24" s="20">
        <f t="shared" si="0"/>
        <v>17179869184</v>
      </c>
      <c r="I24" s="20">
        <f t="shared" si="1"/>
        <v>1073741824</v>
      </c>
      <c r="J24" s="20">
        <f t="shared" si="2"/>
        <v>17165152384</v>
      </c>
      <c r="K24" s="32">
        <f t="shared" si="2"/>
        <v>1059025024</v>
      </c>
      <c r="M24" s="62">
        <f t="shared" si="3"/>
        <v>536870912</v>
      </c>
      <c r="N24" s="64">
        <f t="shared" si="4"/>
        <v>149130.80888888889</v>
      </c>
      <c r="O24" s="64">
        <f t="shared" si="5"/>
        <v>6213.7837037037034</v>
      </c>
      <c r="P24" s="47">
        <f t="shared" si="6"/>
        <v>17.012412604253807</v>
      </c>
      <c r="Q24" s="55"/>
      <c r="R24" s="55">
        <v>1024</v>
      </c>
    </row>
    <row r="25" spans="1:18">
      <c r="E25" s="23"/>
      <c r="F25" s="39" t="s">
        <v>63</v>
      </c>
      <c r="G25" s="41">
        <v>48</v>
      </c>
      <c r="H25" s="20">
        <f t="shared" si="0"/>
        <v>274877906944</v>
      </c>
      <c r="I25" s="20">
        <f t="shared" si="1"/>
        <v>17179869184</v>
      </c>
      <c r="J25" s="20">
        <f t="shared" si="2"/>
        <v>274863190144</v>
      </c>
      <c r="K25" s="32">
        <f t="shared" si="2"/>
        <v>17165152384</v>
      </c>
      <c r="M25" s="62">
        <f t="shared" si="3"/>
        <v>8589934592</v>
      </c>
      <c r="N25" s="64">
        <f t="shared" si="4"/>
        <v>2386092.9422222222</v>
      </c>
      <c r="O25" s="64">
        <f t="shared" si="5"/>
        <v>99420.539259259254</v>
      </c>
      <c r="P25" s="47">
        <f t="shared" si="6"/>
        <v>272.19860166806092</v>
      </c>
      <c r="Q25" s="55"/>
    </row>
    <row r="26" spans="1:18">
      <c r="E26" s="23"/>
      <c r="F26" s="39"/>
      <c r="G26" s="41">
        <v>52</v>
      </c>
      <c r="H26" s="20">
        <f t="shared" si="0"/>
        <v>4398046511104</v>
      </c>
      <c r="I26" s="20">
        <f t="shared" si="1"/>
        <v>274877906944</v>
      </c>
      <c r="J26" s="20">
        <f t="shared" si="2"/>
        <v>4398031794304</v>
      </c>
      <c r="K26" s="32">
        <f t="shared" si="2"/>
        <v>274863190144</v>
      </c>
      <c r="M26" s="62">
        <f t="shared" si="3"/>
        <v>137438953472</v>
      </c>
      <c r="N26" s="64">
        <f t="shared" si="4"/>
        <v>38177487.075555556</v>
      </c>
      <c r="O26" s="64">
        <f t="shared" si="5"/>
        <v>1590728.6281481481</v>
      </c>
      <c r="P26" s="47">
        <f t="shared" si="6"/>
        <v>4355.1776266889747</v>
      </c>
    </row>
    <row r="27" spans="1:18">
      <c r="B27" t="s">
        <v>64</v>
      </c>
      <c r="E27" s="23"/>
      <c r="F27" s="39"/>
      <c r="G27" s="41">
        <v>56</v>
      </c>
      <c r="H27" s="20">
        <f t="shared" si="0"/>
        <v>70368744177664</v>
      </c>
      <c r="I27" s="20">
        <f t="shared" si="1"/>
        <v>4398046511104</v>
      </c>
      <c r="J27" s="20">
        <f t="shared" si="2"/>
        <v>70368729460864</v>
      </c>
      <c r="K27" s="32">
        <f t="shared" si="2"/>
        <v>4398031794304</v>
      </c>
      <c r="M27" s="62">
        <f t="shared" si="3"/>
        <v>2199023255552</v>
      </c>
      <c r="N27" s="64">
        <f t="shared" si="4"/>
        <v>610839793.20888889</v>
      </c>
      <c r="O27" s="64">
        <f t="shared" si="5"/>
        <v>25451658.050370369</v>
      </c>
      <c r="P27" s="47">
        <f t="shared" si="6"/>
        <v>69682.842027023595</v>
      </c>
    </row>
    <row r="28" spans="1:18">
      <c r="B28" t="s">
        <v>17</v>
      </c>
      <c r="C28" s="33">
        <f>1/60</f>
        <v>1.6666666666666666E-2</v>
      </c>
      <c r="D28" t="s">
        <v>22</v>
      </c>
      <c r="E28" s="23"/>
      <c r="F28" s="39"/>
      <c r="G28" s="41">
        <v>60</v>
      </c>
      <c r="H28" s="20">
        <f t="shared" si="0"/>
        <v>1125899906842624</v>
      </c>
      <c r="I28" s="20">
        <f t="shared" si="1"/>
        <v>70368744177664</v>
      </c>
      <c r="J28" s="20">
        <f t="shared" si="2"/>
        <v>1125899892125824</v>
      </c>
      <c r="K28" s="32">
        <f t="shared" si="2"/>
        <v>70368729460864</v>
      </c>
      <c r="M28" s="62">
        <f t="shared" si="3"/>
        <v>35184372088832</v>
      </c>
      <c r="N28" s="64">
        <f t="shared" si="4"/>
        <v>9773436691.3422222</v>
      </c>
      <c r="O28" s="64">
        <f t="shared" si="5"/>
        <v>407226528.80592591</v>
      </c>
      <c r="P28" s="47">
        <f t="shared" si="6"/>
        <v>1114925.4724323775</v>
      </c>
    </row>
    <row r="29" spans="1:18">
      <c r="B29" t="s">
        <v>18</v>
      </c>
      <c r="C29">
        <f>5/60</f>
        <v>8.3333333333333329E-2</v>
      </c>
      <c r="D29" t="s">
        <v>22</v>
      </c>
      <c r="E29" s="23"/>
      <c r="F29" s="39"/>
      <c r="G29" s="42">
        <v>64</v>
      </c>
      <c r="H29" s="22">
        <f t="shared" si="0"/>
        <v>1.8014398509481984E+16</v>
      </c>
      <c r="I29" s="22">
        <f t="shared" si="1"/>
        <v>1125899906842624</v>
      </c>
      <c r="J29" s="22">
        <f t="shared" si="2"/>
        <v>1.8014398494765184E+16</v>
      </c>
      <c r="K29" s="31">
        <f t="shared" si="2"/>
        <v>1125899892125824</v>
      </c>
      <c r="M29" s="62">
        <f t="shared" si="3"/>
        <v>562949953421312</v>
      </c>
      <c r="N29" s="64">
        <f t="shared" si="4"/>
        <v>156374987061.47556</v>
      </c>
      <c r="O29" s="64">
        <f t="shared" si="5"/>
        <v>6515624460.8948145</v>
      </c>
      <c r="P29" s="47">
        <f t="shared" si="6"/>
        <v>17838807.55891804</v>
      </c>
    </row>
    <row r="30" spans="1:18">
      <c r="B30" t="s">
        <v>68</v>
      </c>
      <c r="C30">
        <f>ROUND(365.25*1.5,0)</f>
        <v>548</v>
      </c>
      <c r="D30" t="s">
        <v>23</v>
      </c>
      <c r="E30" s="23"/>
      <c r="F30" s="39"/>
      <c r="G30" s="41">
        <v>68</v>
      </c>
      <c r="H30" s="20">
        <f t="shared" si="0"/>
        <v>2.8823037615171174E+17</v>
      </c>
      <c r="I30" s="20">
        <f t="shared" si="1"/>
        <v>1.8014398509481984E+16</v>
      </c>
      <c r="J30" s="20">
        <f t="shared" si="2"/>
        <v>2.8823037613699494E+17</v>
      </c>
      <c r="K30" s="32">
        <f t="shared" si="2"/>
        <v>1.8014398494765184E+16</v>
      </c>
      <c r="M30" s="62">
        <f t="shared" si="3"/>
        <v>9007199254740992</v>
      </c>
      <c r="N30" s="64">
        <f t="shared" si="4"/>
        <v>2501999792983.6089</v>
      </c>
      <c r="O30" s="64">
        <f t="shared" si="5"/>
        <v>104249991374.31703</v>
      </c>
      <c r="P30" s="47">
        <f t="shared" si="6"/>
        <v>285420920.94268864</v>
      </c>
    </row>
    <row r="31" spans="1:18" ht="15.75" thickBot="1">
      <c r="B31" t="s">
        <v>67</v>
      </c>
      <c r="C31">
        <f>ROUND(365.25*2,0)</f>
        <v>731</v>
      </c>
      <c r="D31" t="s">
        <v>23</v>
      </c>
      <c r="E31" s="23"/>
      <c r="F31" s="40"/>
      <c r="G31" s="58">
        <v>72</v>
      </c>
      <c r="H31" s="9">
        <f t="shared" si="0"/>
        <v>4.6116860184273879E+18</v>
      </c>
      <c r="I31" s="9">
        <f t="shared" si="1"/>
        <v>2.8823037615171174E+17</v>
      </c>
      <c r="J31" s="9">
        <f t="shared" si="2"/>
        <v>4.611686018412671E+18</v>
      </c>
      <c r="K31" s="17">
        <f t="shared" si="2"/>
        <v>2.8823037613699494E+17</v>
      </c>
      <c r="M31" s="61">
        <f t="shared" si="3"/>
        <v>1.4411518807585587E+17</v>
      </c>
      <c r="N31" s="63">
        <f t="shared" si="4"/>
        <v>40031996687737.742</v>
      </c>
      <c r="O31" s="63">
        <f t="shared" si="5"/>
        <v>1667999861989.0725</v>
      </c>
      <c r="P31" s="50">
        <f t="shared" si="6"/>
        <v>4566734735.0830183</v>
      </c>
    </row>
    <row r="32" spans="1:18" ht="15.75" thickTop="1">
      <c r="E32" s="24"/>
      <c r="F32" s="24"/>
      <c r="G32" s="24"/>
      <c r="H32" s="24"/>
      <c r="I32" s="24"/>
      <c r="J32" s="24"/>
      <c r="K32" s="24"/>
      <c r="L32" s="24"/>
      <c r="M32" s="24"/>
    </row>
    <row r="33" spans="2:15" ht="18.75">
      <c r="B33" s="2" t="s">
        <v>4</v>
      </c>
      <c r="E33" s="24"/>
      <c r="F33" s="24"/>
      <c r="G33" s="25"/>
      <c r="H33" s="24"/>
      <c r="I33" s="24"/>
      <c r="J33" s="24"/>
      <c r="K33" s="24"/>
      <c r="L33" s="24"/>
      <c r="M33" s="24"/>
    </row>
    <row r="34" spans="2:15" ht="18.75">
      <c r="B34" s="2" t="s">
        <v>1</v>
      </c>
      <c r="E34" s="24"/>
      <c r="F34" s="25"/>
      <c r="G34" s="24"/>
      <c r="H34" s="24" t="s">
        <v>69</v>
      </c>
      <c r="I34" s="24" t="s">
        <v>54</v>
      </c>
      <c r="J34" s="24"/>
      <c r="K34" s="24"/>
      <c r="L34" s="24"/>
      <c r="M34" s="24"/>
      <c r="N34" s="24"/>
      <c r="O34" s="24"/>
    </row>
    <row r="35" spans="2:15">
      <c r="B35" s="2" t="s">
        <v>5</v>
      </c>
      <c r="E35" s="24"/>
      <c r="F35" s="24"/>
      <c r="G35" s="24"/>
      <c r="H35" s="24"/>
      <c r="I35" s="24" t="s">
        <v>55</v>
      </c>
      <c r="J35" s="56"/>
      <c r="K35" s="57"/>
      <c r="L35" s="24"/>
      <c r="M35" s="24"/>
      <c r="N35" s="24"/>
      <c r="O35" s="24"/>
    </row>
    <row r="36" spans="2:1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2:15"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>
      <c r="F43" s="24"/>
      <c r="G43" s="24"/>
      <c r="H43" s="24"/>
      <c r="I43" s="24"/>
      <c r="J43" s="24"/>
      <c r="K43" s="24"/>
      <c r="L43" s="24"/>
      <c r="M43" s="24"/>
      <c r="N43" s="24"/>
      <c r="O43" s="24"/>
    </row>
  </sheetData>
  <conditionalFormatting sqref="J6:J12 J37:J43 J18:J31 K18">
    <cfRule type="expression" dxfId="82" priority="26">
      <formula>(J6&gt;0)</formula>
    </cfRule>
  </conditionalFormatting>
  <conditionalFormatting sqref="K6:K12 K37:K43 K18:K31">
    <cfRule type="expression" dxfId="81" priority="25">
      <formula>(K6&gt;0)</formula>
    </cfRule>
  </conditionalFormatting>
  <conditionalFormatting sqref="J6:K12 J37:K43 J18:K31">
    <cfRule type="expression" dxfId="80" priority="24">
      <formula xml:space="preserve"> (J6&lt;0)</formula>
    </cfRule>
  </conditionalFormatting>
  <conditionalFormatting sqref="F6:F12">
    <cfRule type="expression" dxfId="79" priority="23">
      <formula>(AND(J6&lt;0,K6&lt;0))</formula>
    </cfRule>
  </conditionalFormatting>
  <conditionalFormatting sqref="F37:F43">
    <cfRule type="expression" dxfId="78" priority="22">
      <formula>(AND(J37&lt;0,K37&lt;0))</formula>
    </cfRule>
  </conditionalFormatting>
  <conditionalFormatting sqref="F6">
    <cfRule type="expression" dxfId="77" priority="19">
      <formula>(AND(J6&lt;0,K6&lt;0))</formula>
    </cfRule>
    <cfRule type="expression" dxfId="76" priority="20">
      <formula>(K6&gt;0)</formula>
    </cfRule>
    <cfRule type="expression" dxfId="75" priority="21">
      <formula>(J6&gt;0)</formula>
    </cfRule>
  </conditionalFormatting>
  <conditionalFormatting sqref="F12">
    <cfRule type="expression" dxfId="74" priority="16">
      <formula>(AND(J12&lt;0,K12&lt;0))</formula>
    </cfRule>
    <cfRule type="expression" dxfId="73" priority="17">
      <formula>(K12&gt;0)</formula>
    </cfRule>
    <cfRule type="expression" dxfId="72" priority="18">
      <formula>(J12&gt;0)</formula>
    </cfRule>
  </conditionalFormatting>
  <conditionalFormatting sqref="F43">
    <cfRule type="expression" dxfId="71" priority="15">
      <formula>(AND(J43&lt;0,K43&lt;0))</formula>
    </cfRule>
  </conditionalFormatting>
  <conditionalFormatting sqref="F43">
    <cfRule type="expression" dxfId="70" priority="12">
      <formula>(AND(J43&lt;0,K43&lt;0))</formula>
    </cfRule>
    <cfRule type="expression" dxfId="69" priority="13">
      <formula>(K43&gt;0)</formula>
    </cfRule>
    <cfRule type="expression" dxfId="68" priority="14">
      <formula>(J43&gt;0)</formula>
    </cfRule>
  </conditionalFormatting>
  <conditionalFormatting sqref="F37">
    <cfRule type="expression" dxfId="67" priority="11">
      <formula>(AND(J37&lt;0,K37&lt;0))</formula>
    </cfRule>
  </conditionalFormatting>
  <conditionalFormatting sqref="F37">
    <cfRule type="expression" dxfId="66" priority="8">
      <formula>(AND(J37&lt;0,K37&lt;0))</formula>
    </cfRule>
    <cfRule type="expression" dxfId="65" priority="9">
      <formula>(K37&gt;0)</formula>
    </cfRule>
    <cfRule type="expression" dxfId="64" priority="10">
      <formula>(J37&gt;0)</formula>
    </cfRule>
  </conditionalFormatting>
  <conditionalFormatting sqref="F7:F11">
    <cfRule type="expression" dxfId="63" priority="5">
      <formula>(AND(J7&lt;0,K7&lt;0))</formula>
    </cfRule>
    <cfRule type="expression" dxfId="62" priority="6">
      <formula>(K7&gt;0)</formula>
    </cfRule>
    <cfRule type="expression" dxfId="61" priority="7">
      <formula>(J7&gt;0)</formula>
    </cfRule>
  </conditionalFormatting>
  <conditionalFormatting sqref="F38:F42">
    <cfRule type="expression" dxfId="60" priority="2">
      <formula>(AND(J38&lt;0,K38&lt;0))</formula>
    </cfRule>
    <cfRule type="expression" dxfId="59" priority="3">
      <formula>(K38&gt;0)</formula>
    </cfRule>
    <cfRule type="expression" dxfId="58" priority="4">
      <formula>(J38&gt;0)</formula>
    </cfRule>
  </conditionalFormatting>
  <conditionalFormatting sqref="G18:G31">
    <cfRule type="cellIs" dxfId="57" priority="37" operator="between">
      <formula>$R$11</formula>
      <formula>$R$12</formula>
    </cfRule>
  </conditionalFormatting>
  <pageMargins left="0.38" right="0.37" top="0.62" bottom="0.56999999999999995" header="0.3" footer="0.3"/>
  <pageSetup scale="61" orientation="landscape" r:id="rId1"/>
  <headerFooter>
    <oddFooter>&amp;LThe Entropenator: protection against non-protocol authentication threats&amp;CPrepared by callaci &amp;D&amp;RCalculations for min-entropy AND guessing entropy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90" zoomScaleNormal="90" workbookViewId="0">
      <selection activeCell="O6" sqref="O6"/>
    </sheetView>
    <sheetView tabSelected="1" topLeftCell="I1" zoomScale="70" zoomScaleNormal="70" workbookViewId="1">
      <selection activeCell="O6" sqref="O6"/>
    </sheetView>
  </sheetViews>
  <sheetFormatPr defaultRowHeight="15"/>
  <cols>
    <col min="1" max="1" width="5.7109375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  <col min="15" max="15" width="12" customWidth="1"/>
  </cols>
  <sheetData>
    <row r="1" spans="1:18" ht="22.5">
      <c r="F1" s="16" t="s">
        <v>52</v>
      </c>
    </row>
    <row r="2" spans="1:18" ht="18.75">
      <c r="B2" s="68" t="s">
        <v>8</v>
      </c>
      <c r="C2" s="69" t="s">
        <v>7</v>
      </c>
      <c r="D2" s="70" t="s">
        <v>6</v>
      </c>
      <c r="E2" s="2"/>
      <c r="G2" s="13"/>
      <c r="H2" s="2"/>
      <c r="I2" s="2"/>
      <c r="K2" s="24"/>
    </row>
    <row r="3" spans="1:18" ht="18.75">
      <c r="B3" s="71">
        <v>0.25</v>
      </c>
      <c r="C3" s="72">
        <v>42</v>
      </c>
      <c r="D3" s="73">
        <v>3650</v>
      </c>
      <c r="E3" s="2"/>
      <c r="F3" s="25"/>
      <c r="G3" s="24"/>
      <c r="H3" s="24"/>
      <c r="I3" s="24"/>
      <c r="J3" s="24"/>
      <c r="K3" s="1" t="s">
        <v>73</v>
      </c>
      <c r="L3" s="74">
        <v>8</v>
      </c>
    </row>
    <row r="4" spans="1:18">
      <c r="A4" s="55" t="s">
        <v>65</v>
      </c>
      <c r="B4" s="55"/>
      <c r="C4" s="55"/>
      <c r="D4" s="55"/>
      <c r="E4" s="2"/>
      <c r="F4" s="24"/>
      <c r="G4" s="24"/>
      <c r="H4" s="24"/>
      <c r="K4" s="74">
        <v>1</v>
      </c>
      <c r="L4" s="74"/>
      <c r="O4" s="1" t="s">
        <v>75</v>
      </c>
    </row>
    <row r="5" spans="1:18">
      <c r="B5" s="59"/>
      <c r="C5" s="69"/>
      <c r="D5" s="70"/>
      <c r="E5" s="2"/>
      <c r="F5" s="24"/>
      <c r="G5" s="24"/>
      <c r="H5" s="24"/>
      <c r="I5" s="24"/>
      <c r="J5" s="24"/>
      <c r="L5" s="74"/>
      <c r="O5" s="81">
        <v>94</v>
      </c>
    </row>
    <row r="6" spans="1:18">
      <c r="B6" s="59"/>
      <c r="C6" s="69"/>
      <c r="D6" s="70"/>
      <c r="E6" s="2"/>
      <c r="F6" s="24"/>
      <c r="H6" s="24"/>
      <c r="I6" s="24"/>
      <c r="J6" s="24"/>
      <c r="K6" s="24"/>
      <c r="L6" s="74"/>
      <c r="M6" s="75" t="s">
        <v>44</v>
      </c>
      <c r="N6" s="76">
        <v>26</v>
      </c>
    </row>
    <row r="7" spans="1:18">
      <c r="B7" s="59"/>
      <c r="C7" s="69"/>
      <c r="D7" s="70"/>
      <c r="E7" s="2"/>
      <c r="F7" s="24"/>
      <c r="H7" s="24"/>
      <c r="I7" s="24"/>
      <c r="J7" s="24"/>
      <c r="K7" s="24"/>
      <c r="L7" s="74"/>
      <c r="M7" s="77" t="s">
        <v>45</v>
      </c>
      <c r="N7" s="78">
        <v>26</v>
      </c>
      <c r="P7" t="s">
        <v>50</v>
      </c>
      <c r="Q7" s="1"/>
    </row>
    <row r="8" spans="1:18">
      <c r="B8" s="59"/>
      <c r="C8" s="69"/>
      <c r="D8" s="70"/>
      <c r="E8" s="2"/>
      <c r="F8" s="24"/>
      <c r="G8" s="24"/>
      <c r="H8" s="24"/>
      <c r="I8" s="24"/>
      <c r="J8" s="24"/>
      <c r="K8" s="24"/>
      <c r="L8" s="74"/>
      <c r="M8" s="77" t="s">
        <v>46</v>
      </c>
      <c r="N8" s="78">
        <v>1</v>
      </c>
    </row>
    <row r="9" spans="1:18">
      <c r="B9" s="59"/>
      <c r="C9" s="69"/>
      <c r="D9" s="70"/>
      <c r="E9" s="2"/>
      <c r="F9" s="24"/>
      <c r="G9" s="24"/>
      <c r="H9" s="24"/>
      <c r="I9" s="24"/>
      <c r="J9" s="24"/>
      <c r="K9" s="24"/>
      <c r="L9" s="74"/>
      <c r="M9" s="77" t="s">
        <v>47</v>
      </c>
      <c r="N9" s="78">
        <v>10</v>
      </c>
      <c r="P9" t="s">
        <v>51</v>
      </c>
      <c r="Q9">
        <f>LOG((O5^L3),2)</f>
        <v>52.436710813421101</v>
      </c>
    </row>
    <row r="10" spans="1:18">
      <c r="B10" s="59"/>
      <c r="C10" s="69"/>
      <c r="D10" s="70"/>
      <c r="E10" s="2"/>
      <c r="F10" s="24"/>
      <c r="G10" s="24"/>
      <c r="H10" s="24"/>
      <c r="I10" s="24"/>
      <c r="J10" s="24"/>
      <c r="K10" s="24"/>
      <c r="L10" s="74"/>
      <c r="M10" s="77" t="s">
        <v>48</v>
      </c>
      <c r="N10" s="78">
        <v>10</v>
      </c>
    </row>
    <row r="11" spans="1:18">
      <c r="B11" s="59"/>
      <c r="C11" s="69"/>
      <c r="D11" s="70"/>
      <c r="E11" s="2"/>
      <c r="F11" s="24"/>
      <c r="G11" s="24"/>
      <c r="H11" s="82"/>
      <c r="I11" s="24"/>
      <c r="J11" s="24"/>
      <c r="K11" s="24"/>
      <c r="L11" s="74"/>
      <c r="M11" s="79" t="s">
        <v>49</v>
      </c>
      <c r="N11" s="80">
        <v>22</v>
      </c>
      <c r="Q11" s="60" t="s">
        <v>70</v>
      </c>
      <c r="R11" s="60">
        <f>-3+ROUND(Q9,0)</f>
        <v>49</v>
      </c>
    </row>
    <row r="12" spans="1:18">
      <c r="B12" s="59"/>
      <c r="C12" s="69"/>
      <c r="D12" s="70"/>
      <c r="E12" s="2"/>
      <c r="F12" s="24"/>
      <c r="G12" s="24"/>
      <c r="H12" s="24"/>
      <c r="I12" s="24"/>
      <c r="J12" s="24"/>
      <c r="K12" s="24"/>
      <c r="L12" s="74"/>
      <c r="M12" s="1" t="s">
        <v>74</v>
      </c>
      <c r="N12">
        <f>SUM(N6:N11)</f>
        <v>95</v>
      </c>
      <c r="Q12" s="60" t="s">
        <v>71</v>
      </c>
      <c r="R12" s="60">
        <f>3+ROUND(Q9,0)</f>
        <v>55</v>
      </c>
    </row>
    <row r="13" spans="1:18">
      <c r="B13" s="59"/>
      <c r="C13" s="69"/>
      <c r="D13" s="70"/>
      <c r="E13" s="2"/>
      <c r="I13" s="2"/>
      <c r="K13" s="74">
        <v>24</v>
      </c>
      <c r="L13" s="74"/>
    </row>
    <row r="14" spans="1:18">
      <c r="B14" s="59"/>
      <c r="C14" s="69"/>
      <c r="D14" s="70"/>
      <c r="E14" s="2"/>
      <c r="F14" s="2"/>
      <c r="G14" s="2"/>
      <c r="H14" s="2"/>
      <c r="I14" s="2"/>
      <c r="O14" s="34"/>
      <c r="P14" s="49"/>
    </row>
    <row r="15" spans="1:18" ht="19.5" thickBot="1">
      <c r="B15" s="59"/>
      <c r="C15" s="69"/>
      <c r="D15" s="70"/>
      <c r="E15" s="24"/>
      <c r="F15" s="13"/>
      <c r="G15" s="9"/>
      <c r="J15" s="3"/>
      <c r="K15" s="3"/>
      <c r="L15" s="24"/>
      <c r="M15" s="43" t="s">
        <v>41</v>
      </c>
      <c r="N15" s="44"/>
      <c r="O15" s="44"/>
      <c r="P15" s="45"/>
      <c r="Q15" s="55" t="s">
        <v>43</v>
      </c>
    </row>
    <row r="16" spans="1:18" ht="15.75" thickTop="1">
      <c r="B16" s="59"/>
      <c r="C16" s="69"/>
      <c r="D16" s="70"/>
      <c r="E16" s="24"/>
      <c r="F16" s="19"/>
      <c r="G16" s="14" t="s">
        <v>13</v>
      </c>
      <c r="H16" s="14" t="s">
        <v>19</v>
      </c>
      <c r="I16" s="5" t="s">
        <v>20</v>
      </c>
      <c r="J16" s="8" t="s">
        <v>2</v>
      </c>
      <c r="K16" s="28" t="s">
        <v>3</v>
      </c>
      <c r="L16" s="24"/>
      <c r="M16" s="46"/>
      <c r="N16" s="2" t="s">
        <v>24</v>
      </c>
      <c r="O16" s="2"/>
      <c r="P16" s="47"/>
      <c r="Q16" s="55"/>
    </row>
    <row r="17" spans="1:18" ht="15.75" thickBot="1">
      <c r="B17" s="59"/>
      <c r="C17" s="69"/>
      <c r="D17" s="70"/>
      <c r="E17" s="24"/>
      <c r="F17" s="15"/>
      <c r="G17" s="18" t="s">
        <v>12</v>
      </c>
      <c r="H17" s="9" t="s">
        <v>10</v>
      </c>
      <c r="I17" s="4" t="s">
        <v>11</v>
      </c>
      <c r="J17" s="12">
        <v>10</v>
      </c>
      <c r="K17" s="17">
        <v>14</v>
      </c>
      <c r="L17" s="24"/>
      <c r="M17" s="46" t="s">
        <v>42</v>
      </c>
      <c r="N17" s="54">
        <v>2</v>
      </c>
      <c r="O17" s="2"/>
      <c r="P17" s="47"/>
      <c r="Q17" s="55"/>
      <c r="R17" s="55">
        <v>2</v>
      </c>
    </row>
    <row r="18" spans="1:18" ht="15.75" thickTop="1">
      <c r="B18" s="59"/>
      <c r="C18" s="69"/>
      <c r="D18" s="70"/>
      <c r="E18" s="23"/>
      <c r="F18" s="37" t="s">
        <v>56</v>
      </c>
      <c r="G18" s="10">
        <v>20</v>
      </c>
      <c r="H18" s="10">
        <f>2^(G18-$J$17)</f>
        <v>1024</v>
      </c>
      <c r="I18" s="10">
        <f>2^(-$K$17+G18)</f>
        <v>64</v>
      </c>
      <c r="J18" s="10">
        <f>H18-($C$3*($D$3*24)/$B$3)</f>
        <v>-14715776</v>
      </c>
      <c r="K18" s="10">
        <f>I18-($C$3*($D$3*24)/$B$3)</f>
        <v>-14716736</v>
      </c>
      <c r="L18" s="24"/>
      <c r="M18" s="46"/>
      <c r="N18" s="2"/>
      <c r="O18" s="2"/>
      <c r="P18" s="47"/>
      <c r="Q18" s="55"/>
    </row>
    <row r="19" spans="1:18">
      <c r="B19" s="59"/>
      <c r="C19" s="69"/>
      <c r="D19" s="70"/>
      <c r="E19" s="23"/>
      <c r="F19" s="38" t="s">
        <v>57</v>
      </c>
      <c r="G19" s="11">
        <v>24</v>
      </c>
      <c r="H19" s="11">
        <f t="shared" ref="H19:H31" si="0">2^(G19-$J$17)</f>
        <v>16384</v>
      </c>
      <c r="I19" s="11">
        <f t="shared" ref="I19:I31" si="1">2^(-$K$17+G19)</f>
        <v>1024</v>
      </c>
      <c r="J19" s="11">
        <f t="shared" ref="J19:K31" si="2">H19-($C$3*($D$3*24)/$B$3)</f>
        <v>-14700416</v>
      </c>
      <c r="K19" s="30">
        <f t="shared" si="2"/>
        <v>-14715776</v>
      </c>
      <c r="L19" s="24"/>
      <c r="M19" s="46" t="s">
        <v>53</v>
      </c>
      <c r="N19" s="2"/>
      <c r="O19" s="2"/>
      <c r="P19" s="47"/>
      <c r="Q19" s="55"/>
    </row>
    <row r="20" spans="1:18">
      <c r="B20" s="59"/>
      <c r="C20" s="69"/>
      <c r="D20" s="70"/>
      <c r="E20" s="23"/>
      <c r="F20" s="38" t="s">
        <v>58</v>
      </c>
      <c r="G20" s="11">
        <v>28</v>
      </c>
      <c r="H20" s="11">
        <f t="shared" si="0"/>
        <v>262144</v>
      </c>
      <c r="I20" s="11">
        <f t="shared" si="1"/>
        <v>16384</v>
      </c>
      <c r="J20" s="11">
        <f t="shared" si="2"/>
        <v>-14454656</v>
      </c>
      <c r="K20" s="30">
        <f t="shared" si="2"/>
        <v>-14700416</v>
      </c>
      <c r="L20" s="24"/>
      <c r="M20" s="46"/>
      <c r="N20" s="2"/>
      <c r="O20" s="2"/>
      <c r="P20" s="47"/>
      <c r="Q20" s="55"/>
    </row>
    <row r="21" spans="1:18">
      <c r="A21" s="55" t="s">
        <v>66</v>
      </c>
      <c r="B21" s="55"/>
      <c r="C21" s="55"/>
      <c r="D21" s="55"/>
      <c r="E21" s="23"/>
      <c r="F21" s="38" t="s">
        <v>59</v>
      </c>
      <c r="G21" s="11">
        <v>32</v>
      </c>
      <c r="H21" s="11">
        <f t="shared" si="0"/>
        <v>4194304</v>
      </c>
      <c r="I21" s="11">
        <f t="shared" si="1"/>
        <v>262144</v>
      </c>
      <c r="J21" s="11">
        <f t="shared" si="2"/>
        <v>-10522496</v>
      </c>
      <c r="K21" s="30">
        <f t="shared" si="2"/>
        <v>-14454656</v>
      </c>
      <c r="L21" s="24"/>
      <c r="M21" s="65" t="s">
        <v>21</v>
      </c>
      <c r="N21" s="66" t="s">
        <v>22</v>
      </c>
      <c r="O21" s="66" t="s">
        <v>23</v>
      </c>
      <c r="P21" s="67" t="s">
        <v>72</v>
      </c>
      <c r="Q21" s="55"/>
    </row>
    <row r="22" spans="1:18">
      <c r="E22" s="23"/>
      <c r="F22" s="21" t="s">
        <v>60</v>
      </c>
      <c r="G22" s="22">
        <v>36</v>
      </c>
      <c r="H22" s="22">
        <f t="shared" si="0"/>
        <v>67108864</v>
      </c>
      <c r="I22" s="22">
        <f t="shared" si="1"/>
        <v>4194304</v>
      </c>
      <c r="J22" s="22">
        <f t="shared" si="2"/>
        <v>52392064</v>
      </c>
      <c r="K22" s="31">
        <f t="shared" si="2"/>
        <v>-10522496</v>
      </c>
      <c r="M22" s="62">
        <f t="shared" ref="M22:M31" si="3">I22/$N$17</f>
        <v>2097152</v>
      </c>
      <c r="N22" s="64">
        <f>M22/3600</f>
        <v>582.54222222222222</v>
      </c>
      <c r="O22" s="64">
        <f>N22/24</f>
        <v>24.272592592592591</v>
      </c>
      <c r="P22" s="47">
        <f>O22/365.25</f>
        <v>6.6454736735366435E-2</v>
      </c>
      <c r="Q22" s="55"/>
    </row>
    <row r="23" spans="1:18">
      <c r="E23" s="23"/>
      <c r="F23" s="39" t="s">
        <v>61</v>
      </c>
      <c r="G23" s="20">
        <v>40</v>
      </c>
      <c r="H23" s="20">
        <f t="shared" si="0"/>
        <v>1073741824</v>
      </c>
      <c r="I23" s="20">
        <f t="shared" si="1"/>
        <v>67108864</v>
      </c>
      <c r="J23" s="20">
        <f t="shared" si="2"/>
        <v>1059025024</v>
      </c>
      <c r="K23" s="32">
        <f t="shared" si="2"/>
        <v>52392064</v>
      </c>
      <c r="M23" s="62">
        <f t="shared" si="3"/>
        <v>33554432</v>
      </c>
      <c r="N23" s="64">
        <f t="shared" ref="N23:N31" si="4">M23/3600</f>
        <v>9320.6755555555555</v>
      </c>
      <c r="O23" s="64">
        <f t="shared" ref="O23:O31" si="5">N23/24</f>
        <v>388.36148148148146</v>
      </c>
      <c r="P23" s="47">
        <f t="shared" ref="P23:P31" si="6">O23/365.25</f>
        <v>1.063275787765863</v>
      </c>
      <c r="Q23" s="55"/>
    </row>
    <row r="24" spans="1:18">
      <c r="E24" s="23"/>
      <c r="F24" s="39" t="s">
        <v>62</v>
      </c>
      <c r="G24" s="41">
        <v>44</v>
      </c>
      <c r="H24" s="20">
        <f t="shared" si="0"/>
        <v>17179869184</v>
      </c>
      <c r="I24" s="20">
        <f t="shared" si="1"/>
        <v>1073741824</v>
      </c>
      <c r="J24" s="20">
        <f t="shared" si="2"/>
        <v>17165152384</v>
      </c>
      <c r="K24" s="32">
        <f t="shared" si="2"/>
        <v>1059025024</v>
      </c>
      <c r="M24" s="62">
        <f t="shared" si="3"/>
        <v>536870912</v>
      </c>
      <c r="N24" s="64">
        <f t="shared" si="4"/>
        <v>149130.80888888889</v>
      </c>
      <c r="O24" s="64">
        <f t="shared" si="5"/>
        <v>6213.7837037037034</v>
      </c>
      <c r="P24" s="47">
        <f t="shared" si="6"/>
        <v>17.012412604253807</v>
      </c>
      <c r="Q24" s="55"/>
      <c r="R24" s="55">
        <v>1024</v>
      </c>
    </row>
    <row r="25" spans="1:18">
      <c r="E25" s="23"/>
      <c r="F25" s="39" t="s">
        <v>63</v>
      </c>
      <c r="G25" s="41">
        <v>48</v>
      </c>
      <c r="H25" s="20">
        <f t="shared" si="0"/>
        <v>274877906944</v>
      </c>
      <c r="I25" s="20">
        <f t="shared" si="1"/>
        <v>17179869184</v>
      </c>
      <c r="J25" s="20">
        <f t="shared" si="2"/>
        <v>274863190144</v>
      </c>
      <c r="K25" s="32">
        <f t="shared" si="2"/>
        <v>17165152384</v>
      </c>
      <c r="M25" s="62">
        <f t="shared" si="3"/>
        <v>8589934592</v>
      </c>
      <c r="N25" s="64">
        <f t="shared" si="4"/>
        <v>2386092.9422222222</v>
      </c>
      <c r="O25" s="64">
        <f t="shared" si="5"/>
        <v>99420.539259259254</v>
      </c>
      <c r="P25" s="47">
        <f t="shared" si="6"/>
        <v>272.19860166806092</v>
      </c>
      <c r="Q25" s="55"/>
    </row>
    <row r="26" spans="1:18">
      <c r="E26" s="23"/>
      <c r="F26" s="39"/>
      <c r="G26" s="41">
        <v>52</v>
      </c>
      <c r="H26" s="20">
        <f t="shared" si="0"/>
        <v>4398046511104</v>
      </c>
      <c r="I26" s="20">
        <f t="shared" si="1"/>
        <v>274877906944</v>
      </c>
      <c r="J26" s="20">
        <f t="shared" si="2"/>
        <v>4398031794304</v>
      </c>
      <c r="K26" s="32">
        <f t="shared" si="2"/>
        <v>274863190144</v>
      </c>
      <c r="M26" s="62">
        <f t="shared" si="3"/>
        <v>137438953472</v>
      </c>
      <c r="N26" s="64">
        <f t="shared" si="4"/>
        <v>38177487.075555556</v>
      </c>
      <c r="O26" s="64">
        <f t="shared" si="5"/>
        <v>1590728.6281481481</v>
      </c>
      <c r="P26" s="47">
        <f t="shared" si="6"/>
        <v>4355.1776266889747</v>
      </c>
    </row>
    <row r="27" spans="1:18">
      <c r="B27" t="s">
        <v>64</v>
      </c>
      <c r="E27" s="23"/>
      <c r="F27" s="39"/>
      <c r="G27" s="41">
        <v>56</v>
      </c>
      <c r="H27" s="20">
        <f t="shared" si="0"/>
        <v>70368744177664</v>
      </c>
      <c r="I27" s="20">
        <f t="shared" si="1"/>
        <v>4398046511104</v>
      </c>
      <c r="J27" s="20">
        <f t="shared" si="2"/>
        <v>70368729460864</v>
      </c>
      <c r="K27" s="32">
        <f t="shared" si="2"/>
        <v>4398031794304</v>
      </c>
      <c r="M27" s="62">
        <f t="shared" si="3"/>
        <v>2199023255552</v>
      </c>
      <c r="N27" s="64">
        <f t="shared" si="4"/>
        <v>610839793.20888889</v>
      </c>
      <c r="O27" s="64">
        <f t="shared" si="5"/>
        <v>25451658.050370369</v>
      </c>
      <c r="P27" s="47">
        <f t="shared" si="6"/>
        <v>69682.842027023595</v>
      </c>
    </row>
    <row r="28" spans="1:18">
      <c r="B28" t="s">
        <v>17</v>
      </c>
      <c r="C28" s="33">
        <f>1/60</f>
        <v>1.6666666666666666E-2</v>
      </c>
      <c r="D28" t="s">
        <v>22</v>
      </c>
      <c r="E28" s="23"/>
      <c r="F28" s="39"/>
      <c r="G28" s="41">
        <v>60</v>
      </c>
      <c r="H28" s="20">
        <f t="shared" si="0"/>
        <v>1125899906842624</v>
      </c>
      <c r="I28" s="20">
        <f t="shared" si="1"/>
        <v>70368744177664</v>
      </c>
      <c r="J28" s="20">
        <f t="shared" si="2"/>
        <v>1125899892125824</v>
      </c>
      <c r="K28" s="32">
        <f t="shared" si="2"/>
        <v>70368729460864</v>
      </c>
      <c r="M28" s="62">
        <f t="shared" si="3"/>
        <v>35184372088832</v>
      </c>
      <c r="N28" s="64">
        <f t="shared" si="4"/>
        <v>9773436691.3422222</v>
      </c>
      <c r="O28" s="64">
        <f t="shared" si="5"/>
        <v>407226528.80592591</v>
      </c>
      <c r="P28" s="47">
        <f t="shared" si="6"/>
        <v>1114925.4724323775</v>
      </c>
    </row>
    <row r="29" spans="1:18">
      <c r="B29" t="s">
        <v>18</v>
      </c>
      <c r="C29">
        <f>5/60</f>
        <v>8.3333333333333329E-2</v>
      </c>
      <c r="D29" t="s">
        <v>22</v>
      </c>
      <c r="E29" s="23"/>
      <c r="F29" s="39"/>
      <c r="G29" s="42">
        <v>64</v>
      </c>
      <c r="H29" s="22">
        <f t="shared" si="0"/>
        <v>1.8014398509481984E+16</v>
      </c>
      <c r="I29" s="22">
        <f t="shared" si="1"/>
        <v>1125899906842624</v>
      </c>
      <c r="J29" s="22">
        <f t="shared" si="2"/>
        <v>1.8014398494765184E+16</v>
      </c>
      <c r="K29" s="31">
        <f t="shared" si="2"/>
        <v>1125899892125824</v>
      </c>
      <c r="M29" s="62">
        <f t="shared" si="3"/>
        <v>562949953421312</v>
      </c>
      <c r="N29" s="64">
        <f t="shared" si="4"/>
        <v>156374987061.47556</v>
      </c>
      <c r="O29" s="64">
        <f t="shared" si="5"/>
        <v>6515624460.8948145</v>
      </c>
      <c r="P29" s="47">
        <f t="shared" si="6"/>
        <v>17838807.55891804</v>
      </c>
    </row>
    <row r="30" spans="1:18">
      <c r="B30" t="s">
        <v>68</v>
      </c>
      <c r="C30">
        <f>ROUND(365.25*1.5,0)</f>
        <v>548</v>
      </c>
      <c r="D30" t="s">
        <v>23</v>
      </c>
      <c r="E30" s="23"/>
      <c r="F30" s="39"/>
      <c r="G30" s="41">
        <v>68</v>
      </c>
      <c r="H30" s="20">
        <f t="shared" si="0"/>
        <v>2.8823037615171174E+17</v>
      </c>
      <c r="I30" s="20">
        <f t="shared" si="1"/>
        <v>1.8014398509481984E+16</v>
      </c>
      <c r="J30" s="20">
        <f t="shared" si="2"/>
        <v>2.8823037613699494E+17</v>
      </c>
      <c r="K30" s="32">
        <f t="shared" si="2"/>
        <v>1.8014398494765184E+16</v>
      </c>
      <c r="M30" s="62">
        <f t="shared" si="3"/>
        <v>9007199254740992</v>
      </c>
      <c r="N30" s="64">
        <f t="shared" si="4"/>
        <v>2501999792983.6089</v>
      </c>
      <c r="O30" s="64">
        <f t="shared" si="5"/>
        <v>104249991374.31703</v>
      </c>
      <c r="P30" s="47">
        <f t="shared" si="6"/>
        <v>285420920.94268864</v>
      </c>
    </row>
    <row r="31" spans="1:18" ht="15.75" thickBot="1">
      <c r="B31" t="s">
        <v>67</v>
      </c>
      <c r="C31">
        <f>ROUND(365.25*2,0)</f>
        <v>731</v>
      </c>
      <c r="D31" t="s">
        <v>23</v>
      </c>
      <c r="E31" s="23"/>
      <c r="F31" s="40"/>
      <c r="G31" s="58">
        <v>72</v>
      </c>
      <c r="H31" s="9">
        <f t="shared" si="0"/>
        <v>4.6116860184273879E+18</v>
      </c>
      <c r="I31" s="9">
        <f t="shared" si="1"/>
        <v>2.8823037615171174E+17</v>
      </c>
      <c r="J31" s="9">
        <f t="shared" si="2"/>
        <v>4.611686018412671E+18</v>
      </c>
      <c r="K31" s="17">
        <f t="shared" si="2"/>
        <v>2.8823037613699494E+17</v>
      </c>
      <c r="M31" s="61">
        <f t="shared" si="3"/>
        <v>1.4411518807585587E+17</v>
      </c>
      <c r="N31" s="63">
        <f t="shared" si="4"/>
        <v>40031996687737.742</v>
      </c>
      <c r="O31" s="63">
        <f t="shared" si="5"/>
        <v>1667999861989.0725</v>
      </c>
      <c r="P31" s="50">
        <f t="shared" si="6"/>
        <v>4566734735.0830183</v>
      </c>
    </row>
    <row r="32" spans="1:18" ht="15.75" thickTop="1">
      <c r="E32" s="24"/>
      <c r="F32" s="24"/>
      <c r="G32" s="24"/>
      <c r="H32" s="24"/>
      <c r="I32" s="24"/>
      <c r="J32" s="24"/>
      <c r="K32" s="24"/>
      <c r="L32" s="24"/>
      <c r="M32" s="24"/>
    </row>
    <row r="33" spans="2:15" ht="18.75">
      <c r="B33" s="2" t="s">
        <v>4</v>
      </c>
      <c r="E33" s="24"/>
      <c r="F33" s="24"/>
      <c r="G33" s="25"/>
      <c r="H33" s="24"/>
      <c r="I33" s="24"/>
      <c r="J33" s="24"/>
      <c r="K33" s="24"/>
      <c r="L33" s="24"/>
      <c r="M33" s="24"/>
    </row>
    <row r="34" spans="2:15" ht="18.75">
      <c r="B34" s="2" t="s">
        <v>1</v>
      </c>
      <c r="E34" s="24"/>
      <c r="F34" s="25"/>
      <c r="G34" s="24"/>
      <c r="H34" s="24" t="s">
        <v>69</v>
      </c>
      <c r="I34" s="24" t="s">
        <v>54</v>
      </c>
      <c r="J34" s="24"/>
      <c r="K34" s="24"/>
      <c r="L34" s="24"/>
      <c r="M34" s="24"/>
      <c r="N34" s="24"/>
      <c r="O34" s="24"/>
    </row>
    <row r="35" spans="2:15">
      <c r="B35" s="2" t="s">
        <v>5</v>
      </c>
      <c r="E35" s="24"/>
      <c r="F35" s="24"/>
      <c r="G35" s="24"/>
      <c r="H35" s="24" t="s">
        <v>81</v>
      </c>
      <c r="I35" s="24" t="s">
        <v>55</v>
      </c>
      <c r="J35" s="56"/>
      <c r="K35" s="57"/>
      <c r="L35" s="24"/>
      <c r="M35" s="24"/>
      <c r="N35" s="24"/>
      <c r="O35" s="24"/>
    </row>
    <row r="36" spans="2:1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2:15"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>
      <c r="F43" s="24"/>
      <c r="G43" s="24"/>
      <c r="H43" s="24"/>
      <c r="I43" s="24"/>
      <c r="J43" s="24"/>
      <c r="K43" s="24"/>
      <c r="L43" s="24"/>
      <c r="M43" s="24"/>
      <c r="N43" s="24"/>
      <c r="O43" s="24"/>
    </row>
  </sheetData>
  <conditionalFormatting sqref="J6:J12 J37:J43 J18:J31 K18">
    <cfRule type="expression" dxfId="25" priority="26">
      <formula>(J6&gt;0)</formula>
    </cfRule>
  </conditionalFormatting>
  <conditionalFormatting sqref="K6:K12 K37:K43 K18:K31">
    <cfRule type="expression" dxfId="24" priority="25">
      <formula>(K6&gt;0)</formula>
    </cfRule>
  </conditionalFormatting>
  <conditionalFormatting sqref="J6:K12 J37:K43 J18:K31">
    <cfRule type="expression" dxfId="23" priority="24">
      <formula xml:space="preserve"> (J6&lt;0)</formula>
    </cfRule>
  </conditionalFormatting>
  <conditionalFormatting sqref="F6:F12">
    <cfRule type="expression" dxfId="22" priority="23">
      <formula>(AND(J6&lt;0,K6&lt;0))</formula>
    </cfRule>
  </conditionalFormatting>
  <conditionalFormatting sqref="F37:F43">
    <cfRule type="expression" dxfId="21" priority="22">
      <formula>(AND(J37&lt;0,K37&lt;0))</formula>
    </cfRule>
  </conditionalFormatting>
  <conditionalFormatting sqref="F6">
    <cfRule type="expression" dxfId="20" priority="19">
      <formula>(AND(J6&lt;0,K6&lt;0))</formula>
    </cfRule>
    <cfRule type="expression" dxfId="19" priority="20">
      <formula>(K6&gt;0)</formula>
    </cfRule>
    <cfRule type="expression" dxfId="18" priority="21">
      <formula>(J6&gt;0)</formula>
    </cfRule>
  </conditionalFormatting>
  <conditionalFormatting sqref="F12">
    <cfRule type="expression" dxfId="17" priority="16">
      <formula>(AND(J12&lt;0,K12&lt;0))</formula>
    </cfRule>
    <cfRule type="expression" dxfId="16" priority="17">
      <formula>(K12&gt;0)</formula>
    </cfRule>
    <cfRule type="expression" dxfId="15" priority="18">
      <formula>(J12&gt;0)</formula>
    </cfRule>
  </conditionalFormatting>
  <conditionalFormatting sqref="F43">
    <cfRule type="expression" dxfId="14" priority="15">
      <formula>(AND(J43&lt;0,K43&lt;0))</formula>
    </cfRule>
  </conditionalFormatting>
  <conditionalFormatting sqref="F43">
    <cfRule type="expression" dxfId="13" priority="12">
      <formula>(AND(J43&lt;0,K43&lt;0))</formula>
    </cfRule>
    <cfRule type="expression" dxfId="12" priority="13">
      <formula>(K43&gt;0)</formula>
    </cfRule>
    <cfRule type="expression" dxfId="11" priority="14">
      <formula>(J43&gt;0)</formula>
    </cfRule>
  </conditionalFormatting>
  <conditionalFormatting sqref="F37">
    <cfRule type="expression" dxfId="10" priority="11">
      <formula>(AND(J37&lt;0,K37&lt;0))</formula>
    </cfRule>
  </conditionalFormatting>
  <conditionalFormatting sqref="F37">
    <cfRule type="expression" dxfId="9" priority="8">
      <formula>(AND(J37&lt;0,K37&lt;0))</formula>
    </cfRule>
    <cfRule type="expression" dxfId="8" priority="9">
      <formula>(K37&gt;0)</formula>
    </cfRule>
    <cfRule type="expression" dxfId="7" priority="10">
      <formula>(J37&gt;0)</formula>
    </cfRule>
  </conditionalFormatting>
  <conditionalFormatting sqref="F7:F11">
    <cfRule type="expression" dxfId="6" priority="5">
      <formula>(AND(J7&lt;0,K7&lt;0))</formula>
    </cfRule>
    <cfRule type="expression" dxfId="5" priority="6">
      <formula>(K7&gt;0)</formula>
    </cfRule>
    <cfRule type="expression" dxfId="4" priority="7">
      <formula>(J7&gt;0)</formula>
    </cfRule>
  </conditionalFormatting>
  <conditionalFormatting sqref="F38:F42">
    <cfRule type="expression" dxfId="3" priority="2">
      <formula>(AND(J38&lt;0,K38&lt;0))</formula>
    </cfRule>
    <cfRule type="expression" dxfId="2" priority="3">
      <formula>(K38&gt;0)</formula>
    </cfRule>
    <cfRule type="expression" dxfId="1" priority="4">
      <formula>(J38&gt;0)</formula>
    </cfRule>
  </conditionalFormatting>
  <conditionalFormatting sqref="G18:G31">
    <cfRule type="cellIs" dxfId="0" priority="1" operator="between">
      <formula>$R$11</formula>
      <formula>$R$12</formula>
    </cfRule>
  </conditionalFormatting>
  <pageMargins left="0.38" right="0.37" top="0.62" bottom="0.56999999999999995" header="0.3" footer="0.3"/>
  <pageSetup scale="61" orientation="landscape" r:id="rId1"/>
  <headerFooter>
    <oddFooter>&amp;LThe Entropenator: protection against non-protocol authentication threats&amp;CPrepared by callaci &amp;D&amp;RCalculations for min-entropy AND guessing entropy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45"/>
  <sheetViews>
    <sheetView tabSelected="1" zoomScale="70" zoomScaleNormal="70" workbookViewId="0">
      <selection activeCell="G8" sqref="G8"/>
    </sheetView>
    <sheetView zoomScale="80" zoomScaleNormal="80" workbookViewId="1"/>
  </sheetViews>
  <sheetFormatPr defaultRowHeight="15"/>
  <cols>
    <col min="1" max="1" width="7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  <col min="12" max="12" width="4.28515625" customWidth="1"/>
  </cols>
  <sheetData>
    <row r="1" spans="2:21" ht="22.5">
      <c r="F1" s="16" t="s">
        <v>9</v>
      </c>
    </row>
    <row r="2" spans="2:21" ht="18.75">
      <c r="B2" s="1" t="s">
        <v>8</v>
      </c>
      <c r="C2" t="s">
        <v>7</v>
      </c>
      <c r="D2" t="s">
        <v>6</v>
      </c>
      <c r="E2" s="2"/>
      <c r="G2" s="13"/>
      <c r="H2" s="2"/>
      <c r="I2" s="2"/>
    </row>
    <row r="3" spans="2:21" ht="19.5" thickBot="1">
      <c r="B3">
        <v>0.5</v>
      </c>
      <c r="C3">
        <v>5</v>
      </c>
      <c r="D3">
        <v>90</v>
      </c>
      <c r="E3" s="2"/>
      <c r="F3" s="13" t="s">
        <v>14</v>
      </c>
      <c r="G3" s="9"/>
      <c r="J3" s="3"/>
      <c r="K3" s="3"/>
    </row>
    <row r="4" spans="2:21" ht="15.75" thickTop="1">
      <c r="E4" s="2"/>
      <c r="F4" s="19"/>
      <c r="G4" s="12" t="s">
        <v>76</v>
      </c>
      <c r="H4" s="14" t="s">
        <v>19</v>
      </c>
      <c r="I4" s="5" t="s">
        <v>20</v>
      </c>
      <c r="J4" s="8" t="s">
        <v>2</v>
      </c>
      <c r="K4" s="28" t="s">
        <v>3</v>
      </c>
    </row>
    <row r="5" spans="2:21" ht="15.75" thickBot="1">
      <c r="E5" s="2"/>
      <c r="F5" s="15" t="s">
        <v>0</v>
      </c>
      <c r="G5" s="18" t="s">
        <v>12</v>
      </c>
      <c r="H5" s="9" t="s">
        <v>10</v>
      </c>
      <c r="I5" s="4" t="s">
        <v>11</v>
      </c>
      <c r="J5" s="12">
        <v>10</v>
      </c>
      <c r="K5" s="17">
        <v>14</v>
      </c>
    </row>
    <row r="6" spans="2:21" ht="15.75" thickTop="1">
      <c r="E6" s="6"/>
      <c r="F6" s="37">
        <v>4</v>
      </c>
      <c r="G6" s="10">
        <f t="shared" ref="G6:G10" si="0">(F6+1)*2 +((MAX(F6-8,0))*1.5)</f>
        <v>10</v>
      </c>
      <c r="H6" s="10">
        <f t="shared" ref="H6:H12" si="1">2^(G6-$J$5)</f>
        <v>1</v>
      </c>
      <c r="I6" s="26">
        <v>0</v>
      </c>
      <c r="J6" s="10">
        <f>H6-($C$3*($D$3*24*60)/($B$3*60))</f>
        <v>-21599</v>
      </c>
      <c r="K6" s="29">
        <f>I6-($C$3*($D$3*24*60)/($B$3*60))</f>
        <v>-21600</v>
      </c>
    </row>
    <row r="7" spans="2:21">
      <c r="E7" s="6"/>
      <c r="F7" s="38">
        <v>5</v>
      </c>
      <c r="G7" s="11">
        <f t="shared" si="0"/>
        <v>12</v>
      </c>
      <c r="H7" s="11">
        <f t="shared" si="1"/>
        <v>4</v>
      </c>
      <c r="I7" s="27">
        <v>0</v>
      </c>
      <c r="J7" s="11">
        <f t="shared" ref="J7:J11" si="2">H7-($C$3*($D$3*24*60)/($B$3*60))</f>
        <v>-21596</v>
      </c>
      <c r="K7" s="30">
        <f t="shared" ref="K7:K11" si="3">I7-($C$3*($D$3*24*60)/($B$3*60))</f>
        <v>-21600</v>
      </c>
    </row>
    <row r="8" spans="2:21">
      <c r="E8" s="6"/>
      <c r="F8" s="38">
        <v>6</v>
      </c>
      <c r="G8" s="11">
        <f t="shared" si="0"/>
        <v>14</v>
      </c>
      <c r="H8" s="11">
        <f t="shared" si="1"/>
        <v>16</v>
      </c>
      <c r="I8" s="11">
        <f>2^(-$K$5+G8)</f>
        <v>1</v>
      </c>
      <c r="J8" s="11">
        <f t="shared" si="2"/>
        <v>-21584</v>
      </c>
      <c r="K8" s="30">
        <f t="shared" si="3"/>
        <v>-21599</v>
      </c>
    </row>
    <row r="9" spans="2:21">
      <c r="E9" s="6"/>
      <c r="F9" s="38">
        <v>7</v>
      </c>
      <c r="G9" s="11">
        <f t="shared" si="0"/>
        <v>16</v>
      </c>
      <c r="H9" s="11">
        <f t="shared" si="1"/>
        <v>64</v>
      </c>
      <c r="I9" s="11">
        <f>2^(-$K$5+G9)</f>
        <v>4</v>
      </c>
      <c r="J9" s="11">
        <f t="shared" si="2"/>
        <v>-21536</v>
      </c>
      <c r="K9" s="30">
        <f t="shared" si="3"/>
        <v>-21596</v>
      </c>
    </row>
    <row r="10" spans="2:21">
      <c r="E10" s="6"/>
      <c r="F10" s="38">
        <v>8</v>
      </c>
      <c r="G10" s="22">
        <f t="shared" si="0"/>
        <v>18</v>
      </c>
      <c r="H10" s="22">
        <f t="shared" si="1"/>
        <v>256</v>
      </c>
      <c r="I10" s="22">
        <f>2^(-$K$5+G10)</f>
        <v>16</v>
      </c>
      <c r="J10" s="22">
        <f t="shared" si="2"/>
        <v>-21344</v>
      </c>
      <c r="K10" s="31">
        <f t="shared" si="3"/>
        <v>-21584</v>
      </c>
    </row>
    <row r="11" spans="2:21" ht="15.75" thickBot="1">
      <c r="E11" s="6"/>
      <c r="F11" s="38">
        <v>9</v>
      </c>
      <c r="G11" s="20">
        <f>(F11+1)*2 +((MAX(F11-8,0))*1.5)</f>
        <v>21.5</v>
      </c>
      <c r="H11" s="20">
        <f t="shared" si="1"/>
        <v>2896.3093757400989</v>
      </c>
      <c r="I11" s="20">
        <f>2^(-$K$5+G11)</f>
        <v>181.01933598375612</v>
      </c>
      <c r="J11" s="20">
        <f t="shared" si="2"/>
        <v>-18703.6906242599</v>
      </c>
      <c r="K11" s="32">
        <f t="shared" si="3"/>
        <v>-21418.980664016242</v>
      </c>
    </row>
    <row r="12" spans="2:21" ht="16.5" thickTop="1" thickBot="1">
      <c r="E12" s="6"/>
      <c r="F12" s="40">
        <v>10</v>
      </c>
      <c r="G12" s="9">
        <f>(F12+1)*2 +((MAX(F12-8,0))*1.5)</f>
        <v>25</v>
      </c>
      <c r="H12" s="9">
        <f t="shared" si="1"/>
        <v>32768</v>
      </c>
      <c r="I12" s="9">
        <f>2^(-$K$5+G12)</f>
        <v>2048</v>
      </c>
      <c r="J12" s="9">
        <f>H12-($C$3*($D$3*24*60)/($B$3*60))</f>
        <v>11168</v>
      </c>
      <c r="K12" s="17">
        <f>I12-($C$3*($D$3*24*60)/($B$3*60))</f>
        <v>-19552</v>
      </c>
      <c r="M12" s="84"/>
      <c r="N12" s="7"/>
      <c r="O12" s="7"/>
      <c r="P12" s="7"/>
      <c r="Q12" s="7"/>
      <c r="R12" s="7"/>
      <c r="S12" s="7"/>
      <c r="T12" s="7"/>
      <c r="U12" s="5"/>
    </row>
    <row r="13" spans="2:21" ht="15.75" thickTop="1">
      <c r="E13" s="2"/>
      <c r="I13" s="7"/>
      <c r="M13" s="85"/>
      <c r="N13" s="2" t="s">
        <v>77</v>
      </c>
      <c r="O13" s="2"/>
      <c r="P13" s="2"/>
      <c r="Q13" s="2"/>
      <c r="R13" s="2"/>
      <c r="S13" s="2"/>
      <c r="T13" s="2"/>
      <c r="U13" s="6"/>
    </row>
    <row r="14" spans="2:21">
      <c r="E14" s="2"/>
      <c r="F14" s="2"/>
      <c r="G14" s="2"/>
      <c r="H14" s="2"/>
      <c r="I14" s="2"/>
      <c r="M14" s="85"/>
      <c r="N14" s="2"/>
      <c r="O14" s="2"/>
      <c r="P14" s="83"/>
      <c r="Q14" s="2"/>
      <c r="R14" s="2"/>
      <c r="S14" s="2"/>
      <c r="T14" s="2"/>
      <c r="U14" s="6"/>
    </row>
    <row r="15" spans="2:21" ht="19.5" thickBot="1">
      <c r="E15" s="24"/>
      <c r="F15" s="13" t="s">
        <v>15</v>
      </c>
      <c r="G15" s="9"/>
      <c r="J15" s="3"/>
      <c r="K15" s="3"/>
      <c r="L15" s="24"/>
      <c r="M15" s="86"/>
      <c r="N15" s="43" t="s">
        <v>41</v>
      </c>
      <c r="O15" s="44"/>
      <c r="P15" s="45"/>
      <c r="Q15" s="2"/>
      <c r="R15" s="54" t="s">
        <v>43</v>
      </c>
      <c r="S15" s="2"/>
      <c r="T15" s="2"/>
      <c r="U15" s="6"/>
    </row>
    <row r="16" spans="2:21" ht="15.75" thickTop="1">
      <c r="E16" s="24"/>
      <c r="F16" s="19"/>
      <c r="G16" s="14" t="s">
        <v>76</v>
      </c>
      <c r="H16" s="14" t="s">
        <v>19</v>
      </c>
      <c r="I16" s="5" t="s">
        <v>20</v>
      </c>
      <c r="J16" s="8" t="s">
        <v>2</v>
      </c>
      <c r="K16" s="28" t="s">
        <v>3</v>
      </c>
      <c r="L16" s="24"/>
      <c r="M16" s="86"/>
      <c r="N16" s="46"/>
      <c r="O16" s="2" t="s">
        <v>24</v>
      </c>
      <c r="P16" s="47"/>
      <c r="Q16" s="2"/>
      <c r="R16" s="54"/>
      <c r="S16" s="2"/>
      <c r="T16" s="2"/>
      <c r="U16" s="6"/>
    </row>
    <row r="17" spans="2:21" ht="15.75" thickBot="1">
      <c r="E17" s="24"/>
      <c r="F17" s="15" t="s">
        <v>0</v>
      </c>
      <c r="G17" s="18" t="s">
        <v>12</v>
      </c>
      <c r="H17" s="9" t="s">
        <v>10</v>
      </c>
      <c r="I17" s="4" t="s">
        <v>11</v>
      </c>
      <c r="J17" s="12">
        <v>10</v>
      </c>
      <c r="K17" s="17">
        <v>14</v>
      </c>
      <c r="L17" s="24"/>
      <c r="M17" s="86"/>
      <c r="N17" s="46" t="s">
        <v>42</v>
      </c>
      <c r="O17" s="54">
        <v>2</v>
      </c>
      <c r="P17" s="47"/>
      <c r="Q17" s="2"/>
      <c r="R17" s="54"/>
      <c r="S17" s="2">
        <v>2</v>
      </c>
      <c r="T17" s="2"/>
      <c r="U17" s="6"/>
    </row>
    <row r="18" spans="2:21" ht="15.75" thickTop="1">
      <c r="E18" s="24"/>
      <c r="F18" s="37">
        <v>4</v>
      </c>
      <c r="G18" s="10">
        <f>6+((F18+1)*2) +((MAX(F18-8,0))*1.5)</f>
        <v>16</v>
      </c>
      <c r="H18" s="10">
        <f>2^(G18-$J$17)</f>
        <v>64</v>
      </c>
      <c r="I18" s="10">
        <f>2^(-$K$17+G18)</f>
        <v>4</v>
      </c>
      <c r="J18" s="10">
        <f>H18-($C$3*($D$3*24*60)/($B$3*60))</f>
        <v>-21536</v>
      </c>
      <c r="K18" s="29">
        <f>I18-($C$3*($D$3*24*60)/($B$3*60))</f>
        <v>-21596</v>
      </c>
      <c r="L18" s="24"/>
      <c r="M18" s="86"/>
      <c r="N18" s="46"/>
      <c r="O18" s="2"/>
      <c r="P18" s="47"/>
      <c r="Q18" s="2"/>
      <c r="R18" s="54"/>
      <c r="S18" s="2"/>
      <c r="T18" s="2"/>
      <c r="U18" s="6"/>
    </row>
    <row r="19" spans="2:21">
      <c r="E19" s="24"/>
      <c r="F19" s="38">
        <v>5</v>
      </c>
      <c r="G19" s="11">
        <f t="shared" ref="G19:G31" si="4">6+((F19+1)*2) +((MAX(F19-8,0))*1.5)</f>
        <v>18</v>
      </c>
      <c r="H19" s="11">
        <f t="shared" ref="H19:H31" si="5">2^(G19-$J$17)</f>
        <v>256</v>
      </c>
      <c r="I19" s="11">
        <f t="shared" ref="I19:I31" si="6">2^(-$K$17+G19)</f>
        <v>16</v>
      </c>
      <c r="J19" s="11">
        <f t="shared" ref="J19:J23" si="7">H19-($C$3*($D$3*24*60)/($B$3*60))</f>
        <v>-21344</v>
      </c>
      <c r="K19" s="30">
        <f t="shared" ref="K19:K23" si="8">I19-($C$3*($D$3*24*60)/($B$3*60))</f>
        <v>-21584</v>
      </c>
      <c r="L19" s="24"/>
      <c r="M19" s="86"/>
      <c r="N19" s="46" t="s">
        <v>53</v>
      </c>
      <c r="O19" s="2"/>
      <c r="P19" s="47"/>
      <c r="Q19" s="2"/>
      <c r="R19" s="54"/>
      <c r="S19" s="2"/>
      <c r="T19" s="2"/>
      <c r="U19" s="6"/>
    </row>
    <row r="20" spans="2:21">
      <c r="E20" s="24"/>
      <c r="F20" s="38">
        <v>6</v>
      </c>
      <c r="G20" s="11">
        <f t="shared" si="4"/>
        <v>20</v>
      </c>
      <c r="H20" s="11">
        <f t="shared" si="5"/>
        <v>1024</v>
      </c>
      <c r="I20" s="11">
        <f t="shared" si="6"/>
        <v>64</v>
      </c>
      <c r="J20" s="11">
        <f t="shared" si="7"/>
        <v>-20576</v>
      </c>
      <c r="K20" s="30">
        <f t="shared" si="8"/>
        <v>-21536</v>
      </c>
      <c r="L20" s="24"/>
      <c r="M20" s="86"/>
      <c r="N20" s="46"/>
      <c r="O20" s="2"/>
      <c r="P20" s="47"/>
      <c r="Q20" s="2"/>
      <c r="R20" s="54"/>
      <c r="S20" s="2"/>
      <c r="T20" s="2"/>
      <c r="U20" s="6"/>
    </row>
    <row r="21" spans="2:21">
      <c r="E21" s="24"/>
      <c r="F21" s="38">
        <v>7</v>
      </c>
      <c r="G21" s="11">
        <f t="shared" si="4"/>
        <v>22</v>
      </c>
      <c r="H21" s="11">
        <f t="shared" si="5"/>
        <v>4096</v>
      </c>
      <c r="I21" s="11">
        <f t="shared" si="6"/>
        <v>256</v>
      </c>
      <c r="J21" s="11">
        <f t="shared" si="7"/>
        <v>-17504</v>
      </c>
      <c r="K21" s="30">
        <f t="shared" si="8"/>
        <v>-21344</v>
      </c>
      <c r="L21" s="24"/>
      <c r="M21" s="86"/>
      <c r="N21" s="48" t="s">
        <v>21</v>
      </c>
      <c r="O21" s="49" t="s">
        <v>22</v>
      </c>
      <c r="P21" s="50" t="s">
        <v>23</v>
      </c>
      <c r="Q21" s="2"/>
      <c r="R21" s="54"/>
      <c r="S21" s="2"/>
      <c r="T21" s="2"/>
      <c r="U21" s="6"/>
    </row>
    <row r="22" spans="2:21">
      <c r="E22" s="24"/>
      <c r="F22" s="21">
        <v>8</v>
      </c>
      <c r="G22" s="22">
        <f t="shared" si="4"/>
        <v>24</v>
      </c>
      <c r="H22" s="22">
        <f t="shared" si="5"/>
        <v>16384</v>
      </c>
      <c r="I22" s="22">
        <f t="shared" si="6"/>
        <v>1024</v>
      </c>
      <c r="J22" s="22">
        <f t="shared" si="7"/>
        <v>-5216</v>
      </c>
      <c r="K22" s="31">
        <f t="shared" si="8"/>
        <v>-20576</v>
      </c>
      <c r="M22" s="85">
        <v>8</v>
      </c>
      <c r="N22" s="46">
        <f t="shared" ref="N22:N31" si="9">I22/$O$17</f>
        <v>512</v>
      </c>
      <c r="O22" s="2">
        <f>N22/3600</f>
        <v>0.14222222222222222</v>
      </c>
      <c r="P22" s="47">
        <f>O22/24</f>
        <v>5.9259259259259256E-3</v>
      </c>
      <c r="Q22" s="2"/>
      <c r="R22" s="54"/>
      <c r="S22" s="2"/>
      <c r="T22" s="2"/>
      <c r="U22" s="6"/>
    </row>
    <row r="23" spans="2:21">
      <c r="E23" s="24"/>
      <c r="F23" s="39">
        <v>9</v>
      </c>
      <c r="G23" s="20">
        <f t="shared" si="4"/>
        <v>27.5</v>
      </c>
      <c r="H23" s="20">
        <f t="shared" si="5"/>
        <v>185363.80004736609</v>
      </c>
      <c r="I23" s="20">
        <f t="shared" si="6"/>
        <v>11585.237502960397</v>
      </c>
      <c r="J23" s="20">
        <f t="shared" si="7"/>
        <v>163763.80004736609</v>
      </c>
      <c r="K23" s="32">
        <f t="shared" si="8"/>
        <v>-10014.762497039603</v>
      </c>
      <c r="M23" s="85">
        <v>9</v>
      </c>
      <c r="N23" s="46">
        <f t="shared" si="9"/>
        <v>5792.6187514801986</v>
      </c>
      <c r="O23" s="2">
        <f t="shared" ref="O23:O31" si="10">N23/3600</f>
        <v>1.6090607643000552</v>
      </c>
      <c r="P23" s="47">
        <f t="shared" ref="P23:P31" si="11">O23/24</f>
        <v>6.7044198512502304E-2</v>
      </c>
      <c r="Q23" s="2"/>
      <c r="R23" s="54"/>
      <c r="S23" s="2"/>
      <c r="T23" s="2"/>
      <c r="U23" s="6"/>
    </row>
    <row r="24" spans="2:21">
      <c r="B24" s="2" t="s">
        <v>4</v>
      </c>
      <c r="E24" s="24"/>
      <c r="F24" s="39">
        <v>10</v>
      </c>
      <c r="G24" s="41">
        <f t="shared" ref="G24:G27" si="12">6+((F24+1)*2) +((MAX(F24-8,0))*1.5)</f>
        <v>31</v>
      </c>
      <c r="H24" s="20">
        <f t="shared" si="5"/>
        <v>2097152</v>
      </c>
      <c r="I24" s="20">
        <f t="shared" si="6"/>
        <v>131072</v>
      </c>
      <c r="J24" s="20">
        <f t="shared" ref="J24:K31" si="13">H24-($C$3*($D$3*24*60)/($B$3*60))</f>
        <v>2075552</v>
      </c>
      <c r="K24" s="32">
        <f t="shared" si="13"/>
        <v>109472</v>
      </c>
      <c r="M24" s="85">
        <v>10</v>
      </c>
      <c r="N24" s="46">
        <f t="shared" si="9"/>
        <v>65536</v>
      </c>
      <c r="O24" s="2">
        <f t="shared" ref="O24:O27" si="14">N24/3600</f>
        <v>18.204444444444444</v>
      </c>
      <c r="P24" s="47">
        <f t="shared" ref="P24:P27" si="15">O24/24</f>
        <v>0.75851851851851848</v>
      </c>
      <c r="Q24" s="2"/>
      <c r="R24" s="54"/>
      <c r="S24" s="2">
        <v>1024</v>
      </c>
      <c r="T24" s="2"/>
      <c r="U24" s="6"/>
    </row>
    <row r="25" spans="2:21">
      <c r="B25" s="2" t="s">
        <v>1</v>
      </c>
      <c r="E25" s="24"/>
      <c r="F25" s="39">
        <v>11</v>
      </c>
      <c r="G25" s="41">
        <f t="shared" si="12"/>
        <v>34.5</v>
      </c>
      <c r="H25" s="20">
        <f t="shared" si="5"/>
        <v>23726566.406062875</v>
      </c>
      <c r="I25" s="20">
        <f t="shared" si="6"/>
        <v>1482910.4003789292</v>
      </c>
      <c r="J25" s="20">
        <f t="shared" si="13"/>
        <v>23704966.406062875</v>
      </c>
      <c r="K25" s="32">
        <f t="shared" si="13"/>
        <v>1461310.4003789292</v>
      </c>
      <c r="M25" s="85">
        <v>11</v>
      </c>
      <c r="N25" s="46">
        <f t="shared" si="9"/>
        <v>741455.20018946461</v>
      </c>
      <c r="O25" s="2">
        <f t="shared" si="14"/>
        <v>205.95977783040684</v>
      </c>
      <c r="P25" s="47">
        <f t="shared" si="15"/>
        <v>8.5816574096002842</v>
      </c>
      <c r="Q25" s="2"/>
      <c r="R25" s="54"/>
      <c r="S25" s="2"/>
      <c r="T25" s="2"/>
      <c r="U25" s="6"/>
    </row>
    <row r="26" spans="2:21">
      <c r="B26" s="2" t="s">
        <v>5</v>
      </c>
      <c r="E26" s="24"/>
      <c r="F26" s="39">
        <v>12</v>
      </c>
      <c r="G26" s="41">
        <f t="shared" si="12"/>
        <v>38</v>
      </c>
      <c r="H26" s="20">
        <f t="shared" si="5"/>
        <v>268435456</v>
      </c>
      <c r="I26" s="20">
        <f t="shared" si="6"/>
        <v>16777216</v>
      </c>
      <c r="J26" s="20">
        <f t="shared" si="13"/>
        <v>268413856</v>
      </c>
      <c r="K26" s="32">
        <f t="shared" si="13"/>
        <v>16755616</v>
      </c>
      <c r="M26" s="85">
        <v>12</v>
      </c>
      <c r="N26" s="46">
        <f t="shared" si="9"/>
        <v>8388608</v>
      </c>
      <c r="O26" s="2">
        <f t="shared" si="14"/>
        <v>2330.1688888888889</v>
      </c>
      <c r="P26" s="47">
        <f t="shared" si="15"/>
        <v>97.090370370370366</v>
      </c>
      <c r="Q26" s="2"/>
      <c r="R26" s="2"/>
      <c r="S26" s="2"/>
      <c r="T26" s="2"/>
      <c r="U26" s="6"/>
    </row>
    <row r="27" spans="2:21">
      <c r="E27" s="24"/>
      <c r="F27" s="39">
        <v>13</v>
      </c>
      <c r="G27" s="41">
        <f t="shared" si="12"/>
        <v>41.5</v>
      </c>
      <c r="H27" s="20">
        <f t="shared" si="5"/>
        <v>3037000499.9760447</v>
      </c>
      <c r="I27" s="20">
        <f t="shared" si="6"/>
        <v>189812531.24850273</v>
      </c>
      <c r="J27" s="20">
        <f t="shared" si="13"/>
        <v>3036978899.9760447</v>
      </c>
      <c r="K27" s="32">
        <f t="shared" si="13"/>
        <v>189790931.24850273</v>
      </c>
      <c r="M27" s="85">
        <v>13</v>
      </c>
      <c r="N27" s="46">
        <f t="shared" si="9"/>
        <v>94906265.624251366</v>
      </c>
      <c r="O27" s="2">
        <f t="shared" si="14"/>
        <v>26362.851562292046</v>
      </c>
      <c r="P27" s="47">
        <f t="shared" si="15"/>
        <v>1098.4521484288352</v>
      </c>
      <c r="Q27" s="2"/>
      <c r="R27" s="2"/>
      <c r="S27" s="2"/>
      <c r="T27" s="2"/>
      <c r="U27" s="6"/>
    </row>
    <row r="28" spans="2:21">
      <c r="B28" t="s">
        <v>17</v>
      </c>
      <c r="C28" s="33">
        <f>1/60</f>
        <v>1.6666666666666666E-2</v>
      </c>
      <c r="E28" s="24"/>
      <c r="F28" s="39">
        <v>14</v>
      </c>
      <c r="G28" s="41">
        <f t="shared" si="4"/>
        <v>45</v>
      </c>
      <c r="H28" s="20">
        <f t="shared" si="5"/>
        <v>34359738368</v>
      </c>
      <c r="I28" s="20">
        <f t="shared" si="6"/>
        <v>2147483648</v>
      </c>
      <c r="J28" s="20">
        <f t="shared" si="13"/>
        <v>34359716768</v>
      </c>
      <c r="K28" s="32">
        <f t="shared" si="13"/>
        <v>2147462048</v>
      </c>
      <c r="M28" s="85">
        <v>14</v>
      </c>
      <c r="N28" s="46">
        <f t="shared" si="9"/>
        <v>1073741824</v>
      </c>
      <c r="O28" s="2">
        <f t="shared" si="10"/>
        <v>298261.61777777778</v>
      </c>
      <c r="P28" s="47">
        <f t="shared" si="11"/>
        <v>12427.567407407407</v>
      </c>
      <c r="Q28" s="2"/>
      <c r="R28" s="2"/>
      <c r="S28" s="2"/>
      <c r="T28" s="2"/>
      <c r="U28" s="6"/>
    </row>
    <row r="29" spans="2:21">
      <c r="B29" t="s">
        <v>18</v>
      </c>
      <c r="C29">
        <f>5/60</f>
        <v>8.3333333333333329E-2</v>
      </c>
      <c r="E29" s="24"/>
      <c r="F29" s="39">
        <v>15</v>
      </c>
      <c r="G29" s="42">
        <f t="shared" ref="G29" si="16">6+((F29+1)*2) +((MAX(F29-8,0))*1.5)</f>
        <v>48.5</v>
      </c>
      <c r="H29" s="22">
        <f t="shared" si="5"/>
        <v>388736063996.93463</v>
      </c>
      <c r="I29" s="22">
        <f t="shared" si="6"/>
        <v>24296003999.808407</v>
      </c>
      <c r="J29" s="22">
        <f t="shared" si="13"/>
        <v>388736042396.93463</v>
      </c>
      <c r="K29" s="31">
        <f t="shared" si="13"/>
        <v>24295982399.808407</v>
      </c>
      <c r="M29" s="85">
        <v>15</v>
      </c>
      <c r="N29" s="46">
        <f t="shared" si="9"/>
        <v>12148001999.904203</v>
      </c>
      <c r="O29" s="2">
        <f t="shared" ref="O29" si="17">N29/3600</f>
        <v>3374444.9999733898</v>
      </c>
      <c r="P29" s="47">
        <f t="shared" ref="P29" si="18">O29/24</f>
        <v>140601.87499889123</v>
      </c>
      <c r="Q29" s="2"/>
      <c r="R29" s="2"/>
      <c r="S29" s="2"/>
      <c r="T29" s="2"/>
      <c r="U29" s="6"/>
    </row>
    <row r="30" spans="2:21">
      <c r="E30" s="24"/>
      <c r="F30" s="39">
        <v>16</v>
      </c>
      <c r="G30" s="41">
        <f t="shared" ref="G30" si="19">6+((F30+1)*2) +((MAX(F30-8,0))*1.5)</f>
        <v>52</v>
      </c>
      <c r="H30" s="20">
        <f t="shared" si="5"/>
        <v>4398046511104</v>
      </c>
      <c r="I30" s="20">
        <f t="shared" si="6"/>
        <v>274877906944</v>
      </c>
      <c r="J30" s="20">
        <f t="shared" si="13"/>
        <v>4398046489504</v>
      </c>
      <c r="K30" s="32">
        <f t="shared" si="13"/>
        <v>274877885344</v>
      </c>
      <c r="M30" s="85">
        <v>16</v>
      </c>
      <c r="N30" s="46">
        <f t="shared" si="9"/>
        <v>137438953472</v>
      </c>
      <c r="O30" s="2">
        <f t="shared" ref="O30" si="20">N30/3600</f>
        <v>38177487.075555556</v>
      </c>
      <c r="P30" s="47">
        <f t="shared" ref="P30" si="21">O30/24</f>
        <v>1590728.6281481481</v>
      </c>
      <c r="Q30" s="2"/>
      <c r="R30" s="2"/>
      <c r="S30" s="2"/>
      <c r="T30" s="2"/>
      <c r="U30" s="6"/>
    </row>
    <row r="31" spans="2:21" ht="15.75" thickBot="1">
      <c r="E31" s="24"/>
      <c r="F31" s="40">
        <v>17</v>
      </c>
      <c r="G31" s="9">
        <f t="shared" si="4"/>
        <v>55.5</v>
      </c>
      <c r="H31" s="9">
        <f t="shared" si="5"/>
        <v>49758216191607.578</v>
      </c>
      <c r="I31" s="9">
        <f t="shared" si="6"/>
        <v>3109888511975.4722</v>
      </c>
      <c r="J31" s="9">
        <f t="shared" si="13"/>
        <v>49758216170007.578</v>
      </c>
      <c r="K31" s="17">
        <f t="shared" si="13"/>
        <v>3109888490375.4722</v>
      </c>
      <c r="M31" s="85">
        <v>17</v>
      </c>
      <c r="N31" s="48">
        <f t="shared" si="9"/>
        <v>1554944255987.7361</v>
      </c>
      <c r="O31" s="49">
        <f t="shared" si="10"/>
        <v>431928959.99659336</v>
      </c>
      <c r="P31" s="50">
        <f t="shared" si="11"/>
        <v>17997039.999858055</v>
      </c>
      <c r="Q31" s="2"/>
      <c r="R31" s="2"/>
      <c r="S31" s="2"/>
      <c r="T31" s="2"/>
      <c r="U31" s="6"/>
    </row>
    <row r="32" spans="2:21" ht="15.75" thickTop="1">
      <c r="B32" t="s">
        <v>78</v>
      </c>
      <c r="C32">
        <v>365</v>
      </c>
      <c r="E32" s="24"/>
      <c r="F32" s="24"/>
      <c r="G32" s="24"/>
      <c r="H32" s="24"/>
      <c r="I32" s="24"/>
      <c r="J32" s="24"/>
      <c r="K32" s="24"/>
      <c r="L32" s="24"/>
      <c r="M32" s="86"/>
      <c r="N32" s="24"/>
      <c r="O32" s="2"/>
      <c r="P32" s="2"/>
      <c r="Q32" s="2"/>
      <c r="R32" s="2"/>
      <c r="S32" s="2"/>
      <c r="T32" s="2"/>
      <c r="U32" s="6"/>
    </row>
    <row r="33" spans="2:21" ht="18.75">
      <c r="B33" t="s">
        <v>79</v>
      </c>
      <c r="C33">
        <f>1.5*365</f>
        <v>547.5</v>
      </c>
      <c r="E33" s="24"/>
      <c r="F33" s="24"/>
      <c r="G33" s="25"/>
      <c r="H33" s="24"/>
      <c r="I33" s="24"/>
      <c r="J33" s="24"/>
      <c r="K33" s="24"/>
      <c r="L33" s="24"/>
      <c r="M33" s="86"/>
      <c r="N33" s="24"/>
      <c r="O33" s="2"/>
      <c r="P33" s="2"/>
      <c r="Q33" s="2"/>
      <c r="R33" s="2"/>
      <c r="S33" s="2"/>
      <c r="T33" s="2"/>
      <c r="U33" s="6"/>
    </row>
    <row r="34" spans="2:21" ht="19.5" thickBot="1">
      <c r="B34" t="s">
        <v>80</v>
      </c>
      <c r="C34">
        <f>2*365</f>
        <v>730</v>
      </c>
      <c r="E34" s="24"/>
      <c r="F34" s="13" t="s">
        <v>16</v>
      </c>
      <c r="G34" s="9"/>
      <c r="J34" s="3"/>
      <c r="K34" s="3"/>
      <c r="L34" s="24"/>
      <c r="M34" s="86"/>
      <c r="N34" s="24"/>
      <c r="O34" s="2"/>
      <c r="P34" s="2"/>
      <c r="Q34" s="2"/>
      <c r="R34" s="2"/>
      <c r="S34" s="2"/>
      <c r="T34" s="2"/>
      <c r="U34" s="6"/>
    </row>
    <row r="35" spans="2:21" ht="15.75" thickTop="1">
      <c r="E35" s="24"/>
      <c r="F35" s="19"/>
      <c r="G35" s="14" t="s">
        <v>76</v>
      </c>
      <c r="H35" s="14" t="s">
        <v>19</v>
      </c>
      <c r="I35" s="5" t="s">
        <v>20</v>
      </c>
      <c r="J35" s="8" t="s">
        <v>2</v>
      </c>
      <c r="K35" s="28" t="s">
        <v>3</v>
      </c>
      <c r="L35" s="24"/>
      <c r="M35" s="86"/>
      <c r="N35" s="24"/>
      <c r="O35" s="2"/>
      <c r="P35" s="2"/>
      <c r="Q35" s="2"/>
      <c r="R35" s="2"/>
      <c r="S35" s="2"/>
      <c r="T35" s="2"/>
      <c r="U35" s="6"/>
    </row>
    <row r="36" spans="2:21" ht="15.75" thickBot="1">
      <c r="E36" s="24"/>
      <c r="F36" s="15" t="s">
        <v>0</v>
      </c>
      <c r="G36" s="18" t="s">
        <v>12</v>
      </c>
      <c r="H36" s="9" t="s">
        <v>10</v>
      </c>
      <c r="I36" s="4" t="s">
        <v>11</v>
      </c>
      <c r="J36" s="12">
        <v>10</v>
      </c>
      <c r="K36" s="17">
        <v>14</v>
      </c>
      <c r="L36" s="24"/>
      <c r="M36" s="86"/>
      <c r="N36" s="24"/>
      <c r="O36" s="2"/>
      <c r="P36" s="2"/>
      <c r="Q36" s="2"/>
      <c r="R36" s="2"/>
      <c r="S36" s="2"/>
      <c r="T36" s="2"/>
      <c r="U36" s="6"/>
    </row>
    <row r="37" spans="2:21" ht="15.75" thickTop="1">
      <c r="F37" s="37">
        <v>4</v>
      </c>
      <c r="G37" s="10">
        <f>12+((F37+1)*2) +((MAX(F37-8,0))*1.5)</f>
        <v>22</v>
      </c>
      <c r="H37" s="10">
        <f t="shared" ref="H37:H43" si="22">2^(G37-$J$5)</f>
        <v>4096</v>
      </c>
      <c r="I37" s="10">
        <f t="shared" ref="I37:I43" si="23">2^(-$K$5+G37)</f>
        <v>256</v>
      </c>
      <c r="J37" s="10">
        <f>H37-($C$3*($D$3*24*60)/($B$3*60))</f>
        <v>-17504</v>
      </c>
      <c r="K37" s="29">
        <f>I37-($C$3*($D$3*24*60)/($B$3*60))</f>
        <v>-21344</v>
      </c>
      <c r="L37" s="24"/>
      <c r="M37" s="86"/>
      <c r="N37" s="24"/>
      <c r="O37" s="2"/>
      <c r="P37" s="2"/>
      <c r="Q37" s="2"/>
      <c r="R37" s="2"/>
      <c r="S37" s="2"/>
      <c r="T37" s="2"/>
      <c r="U37" s="6"/>
    </row>
    <row r="38" spans="2:21">
      <c r="F38" s="38">
        <v>5</v>
      </c>
      <c r="G38" s="11">
        <f t="shared" ref="G38:G43" si="24">12+((F38+1)*2) +((MAX(F38-8,0))*1.5)</f>
        <v>24</v>
      </c>
      <c r="H38" s="11">
        <f t="shared" si="22"/>
        <v>16384</v>
      </c>
      <c r="I38" s="11">
        <f t="shared" si="23"/>
        <v>1024</v>
      </c>
      <c r="J38" s="11">
        <f t="shared" ref="J38:J42" si="25">H38-($C$3*($D$3*24*60)/($B$3*60))</f>
        <v>-5216</v>
      </c>
      <c r="K38" s="30">
        <f t="shared" ref="K38:K42" si="26">I38-($C$3*($D$3*24*60)/($B$3*60))</f>
        <v>-20576</v>
      </c>
      <c r="L38" s="24"/>
      <c r="M38" s="86"/>
      <c r="N38" s="24"/>
      <c r="O38" s="2"/>
      <c r="P38" s="2"/>
      <c r="Q38" s="2"/>
      <c r="R38" s="2"/>
      <c r="S38" s="2"/>
      <c r="T38" s="2"/>
      <c r="U38" s="6"/>
    </row>
    <row r="39" spans="2:21">
      <c r="F39" s="38">
        <v>6</v>
      </c>
      <c r="G39" s="11">
        <f t="shared" si="24"/>
        <v>26</v>
      </c>
      <c r="H39" s="11">
        <f t="shared" si="22"/>
        <v>65536</v>
      </c>
      <c r="I39" s="11">
        <f t="shared" si="23"/>
        <v>4096</v>
      </c>
      <c r="J39" s="11">
        <f t="shared" si="25"/>
        <v>43936</v>
      </c>
      <c r="K39" s="30">
        <f t="shared" si="26"/>
        <v>-17504</v>
      </c>
      <c r="L39" s="24"/>
      <c r="M39" s="86"/>
      <c r="N39" s="24"/>
      <c r="O39" s="2"/>
      <c r="P39" s="2"/>
      <c r="Q39" s="2"/>
      <c r="R39" s="2"/>
      <c r="S39" s="2"/>
      <c r="T39" s="2"/>
      <c r="U39" s="6"/>
    </row>
    <row r="40" spans="2:21">
      <c r="F40" s="38">
        <v>7</v>
      </c>
      <c r="G40" s="11">
        <f t="shared" si="24"/>
        <v>28</v>
      </c>
      <c r="H40" s="11">
        <f t="shared" si="22"/>
        <v>262144</v>
      </c>
      <c r="I40" s="11">
        <f t="shared" si="23"/>
        <v>16384</v>
      </c>
      <c r="J40" s="11">
        <f t="shared" si="25"/>
        <v>240544</v>
      </c>
      <c r="K40" s="30">
        <f t="shared" si="26"/>
        <v>-5216</v>
      </c>
      <c r="L40" s="24"/>
      <c r="M40" s="86"/>
      <c r="N40" s="51" t="s">
        <v>21</v>
      </c>
      <c r="O40" s="52" t="s">
        <v>22</v>
      </c>
      <c r="P40" s="53" t="s">
        <v>23</v>
      </c>
      <c r="Q40" s="2"/>
      <c r="R40" s="2"/>
      <c r="S40" s="2"/>
      <c r="T40" s="2"/>
      <c r="U40" s="6"/>
    </row>
    <row r="41" spans="2:21">
      <c r="F41" s="38">
        <v>8</v>
      </c>
      <c r="G41" s="22">
        <f t="shared" si="24"/>
        <v>30</v>
      </c>
      <c r="H41" s="22">
        <f t="shared" si="22"/>
        <v>1048576</v>
      </c>
      <c r="I41" s="22">
        <f t="shared" si="23"/>
        <v>65536</v>
      </c>
      <c r="J41" s="22">
        <f t="shared" si="25"/>
        <v>1026976</v>
      </c>
      <c r="K41" s="31">
        <f t="shared" si="26"/>
        <v>43936</v>
      </c>
      <c r="L41" s="24"/>
      <c r="M41" s="86"/>
      <c r="N41" s="46">
        <f>I41/$O$17</f>
        <v>32768</v>
      </c>
      <c r="O41" s="2">
        <f>N41/3600</f>
        <v>9.1022222222222222</v>
      </c>
      <c r="P41" s="47">
        <f>O41/24</f>
        <v>0.37925925925925924</v>
      </c>
      <c r="Q41" s="2"/>
      <c r="R41" s="2"/>
      <c r="S41" s="2"/>
      <c r="T41" s="2"/>
      <c r="U41" s="6"/>
    </row>
    <row r="42" spans="2:21">
      <c r="F42" s="38">
        <v>9</v>
      </c>
      <c r="G42" s="20">
        <f t="shared" si="24"/>
        <v>33.5</v>
      </c>
      <c r="H42" s="20">
        <f t="shared" si="22"/>
        <v>11863283.203031458</v>
      </c>
      <c r="I42" s="20">
        <f t="shared" si="23"/>
        <v>741455.20018946461</v>
      </c>
      <c r="J42" s="20">
        <f t="shared" si="25"/>
        <v>11841683.203031458</v>
      </c>
      <c r="K42" s="32">
        <f t="shared" si="26"/>
        <v>719855.20018946461</v>
      </c>
      <c r="L42" s="24"/>
      <c r="M42" s="86"/>
      <c r="N42" s="46">
        <f>I42/$O$17</f>
        <v>370727.6000947323</v>
      </c>
      <c r="O42" s="2">
        <f t="shared" ref="O42:O43" si="27">N42/3600</f>
        <v>102.97988891520342</v>
      </c>
      <c r="P42" s="47">
        <f t="shared" ref="P42:P43" si="28">O42/24</f>
        <v>4.2908287048001421</v>
      </c>
      <c r="Q42" s="2"/>
      <c r="R42" s="2"/>
      <c r="S42" s="2"/>
      <c r="T42" s="2"/>
      <c r="U42" s="6"/>
    </row>
    <row r="43" spans="2:21" ht="15.75" thickBot="1">
      <c r="F43" s="40">
        <v>10</v>
      </c>
      <c r="G43" s="9">
        <f t="shared" si="24"/>
        <v>37</v>
      </c>
      <c r="H43" s="9">
        <f t="shared" si="22"/>
        <v>134217728</v>
      </c>
      <c r="I43" s="9">
        <f t="shared" si="23"/>
        <v>8388608</v>
      </c>
      <c r="J43" s="9">
        <f>H43-($C$3*($D$3*24*60)/($B$3*60))</f>
        <v>134196128</v>
      </c>
      <c r="K43" s="17">
        <f>I43-($C$3*($D$3*24*60)/($B$3*60))</f>
        <v>8367008</v>
      </c>
      <c r="L43" s="24"/>
      <c r="M43" s="86"/>
      <c r="N43" s="48">
        <f>I43/$O$17</f>
        <v>4194304</v>
      </c>
      <c r="O43" s="49">
        <f t="shared" si="27"/>
        <v>1165.0844444444444</v>
      </c>
      <c r="P43" s="50">
        <f t="shared" si="28"/>
        <v>48.545185185185183</v>
      </c>
      <c r="Q43" s="2"/>
      <c r="R43" s="2"/>
      <c r="S43" s="2"/>
      <c r="T43" s="2"/>
      <c r="U43" s="6"/>
    </row>
    <row r="44" spans="2:21" ht="16.5" thickTop="1" thickBot="1">
      <c r="M44" s="87"/>
      <c r="N44" s="3"/>
      <c r="O44" s="3"/>
      <c r="P44" s="3"/>
      <c r="Q44" s="3"/>
      <c r="R44" s="3"/>
      <c r="S44" s="3"/>
      <c r="T44" s="3"/>
      <c r="U44" s="4"/>
    </row>
    <row r="45" spans="2:21" ht="15.75" thickTop="1"/>
  </sheetData>
  <conditionalFormatting sqref="J6:J12 J37:J43 J18:J31">
    <cfRule type="expression" dxfId="56" priority="34">
      <formula>(J6&gt;0)</formula>
    </cfRule>
  </conditionalFormatting>
  <conditionalFormatting sqref="K6:K12 K37:K43 K18:K31">
    <cfRule type="expression" dxfId="55" priority="33">
      <formula>(K6&gt;0)</formula>
    </cfRule>
  </conditionalFormatting>
  <conditionalFormatting sqref="J6:K12 J37:K43 J18:K31">
    <cfRule type="expression" dxfId="54" priority="32">
      <formula xml:space="preserve"> (J6&lt;0)</formula>
    </cfRule>
  </conditionalFormatting>
  <conditionalFormatting sqref="F6:F12">
    <cfRule type="expression" dxfId="53" priority="25">
      <formula>(AND(J6&lt;0,K6&lt;0))</formula>
    </cfRule>
  </conditionalFormatting>
  <conditionalFormatting sqref="F18:F31">
    <cfRule type="expression" dxfId="52" priority="21">
      <formula>(AND(J18&lt;0,K18&lt;0))</formula>
    </cfRule>
    <cfRule type="expression" dxfId="51" priority="22">
      <formula>(K18&gt;0)</formula>
    </cfRule>
    <cfRule type="expression" dxfId="50" priority="24">
      <formula>(J18&gt;0)</formula>
    </cfRule>
  </conditionalFormatting>
  <conditionalFormatting sqref="F37:F43">
    <cfRule type="expression" dxfId="49" priority="23">
      <formula>(AND(J37&lt;0,K37&lt;0))</formula>
    </cfRule>
  </conditionalFormatting>
  <conditionalFormatting sqref="F6">
    <cfRule type="expression" dxfId="48" priority="18">
      <formula>(AND(J6&lt;0,K6&lt;0))</formula>
    </cfRule>
    <cfRule type="expression" dxfId="47" priority="19">
      <formula>(K6&gt;0)</formula>
    </cfRule>
    <cfRule type="expression" dxfId="46" priority="20">
      <formula>(J6&gt;0)</formula>
    </cfRule>
  </conditionalFormatting>
  <conditionalFormatting sqref="F12">
    <cfRule type="expression" dxfId="45" priority="15">
      <formula>(AND(J12&lt;0,K12&lt;0))</formula>
    </cfRule>
    <cfRule type="expression" dxfId="44" priority="16">
      <formula>(K12&gt;0)</formula>
    </cfRule>
    <cfRule type="expression" dxfId="43" priority="17">
      <formula>(J12&gt;0)</formula>
    </cfRule>
  </conditionalFormatting>
  <conditionalFormatting sqref="F43">
    <cfRule type="expression" dxfId="42" priority="14">
      <formula>(AND(J43&lt;0,K43&lt;0))</formula>
    </cfRule>
  </conditionalFormatting>
  <conditionalFormatting sqref="F43">
    <cfRule type="expression" dxfId="41" priority="11">
      <formula>(AND(J43&lt;0,K43&lt;0))</formula>
    </cfRule>
    <cfRule type="expression" dxfId="40" priority="12">
      <formula>(K43&gt;0)</formula>
    </cfRule>
    <cfRule type="expression" dxfId="39" priority="13">
      <formula>(J43&gt;0)</formula>
    </cfRule>
  </conditionalFormatting>
  <conditionalFormatting sqref="F37">
    <cfRule type="expression" dxfId="38" priority="10">
      <formula>(AND(J37&lt;0,K37&lt;0))</formula>
    </cfRule>
  </conditionalFormatting>
  <conditionalFormatting sqref="F37">
    <cfRule type="expression" dxfId="37" priority="7">
      <formula>(AND(J37&lt;0,K37&lt;0))</formula>
    </cfRule>
    <cfRule type="expression" dxfId="36" priority="8">
      <formula>(K37&gt;0)</formula>
    </cfRule>
    <cfRule type="expression" dxfId="35" priority="9">
      <formula>(J37&gt;0)</formula>
    </cfRule>
  </conditionalFormatting>
  <conditionalFormatting sqref="F7:F11">
    <cfRule type="expression" dxfId="34" priority="4">
      <formula>(AND(J7&lt;0,K7&lt;0))</formula>
    </cfRule>
    <cfRule type="expression" dxfId="33" priority="5">
      <formula>(K7&gt;0)</formula>
    </cfRule>
    <cfRule type="expression" dxfId="32" priority="6">
      <formula>(J7&gt;0)</formula>
    </cfRule>
  </conditionalFormatting>
  <conditionalFormatting sqref="F38:F42">
    <cfRule type="expression" dxfId="31" priority="1">
      <formula>(AND(J38&lt;0,K38&lt;0))</formula>
    </cfRule>
    <cfRule type="expression" dxfId="30" priority="2">
      <formula>(K38&gt;0)</formula>
    </cfRule>
    <cfRule type="expression" dxfId="29" priority="3">
      <formula>(J38&gt;0)</formula>
    </cfRule>
  </conditionalFormatting>
  <pageMargins left="0.38" right="0.37" top="0.62" bottom="0.56999999999999995" header="0.3" footer="0.3"/>
  <pageSetup scale="61" orientation="landscape" r:id="rId1"/>
  <headerFooter>
    <oddFooter>&amp;LThe Entropenator: protection against non-protocol authentication threats&amp;CPrepared by callaci &amp;D&amp;RCalculations for min-entropy AND guessing entropy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56"/>
  <sheetViews>
    <sheetView zoomScale="80" zoomScaleNormal="80" workbookViewId="0">
      <selection activeCell="F49" sqref="F49"/>
    </sheetView>
    <sheetView workbookViewId="1"/>
  </sheetViews>
  <sheetFormatPr defaultRowHeight="15"/>
  <cols>
    <col min="1" max="1" width="5.7109375" customWidth="1"/>
    <col min="3" max="3" width="8.5703125" customWidth="1"/>
    <col min="5" max="5" width="5.5703125" customWidth="1"/>
    <col min="7" max="7" width="18.42578125" customWidth="1"/>
    <col min="8" max="9" width="21.85546875" bestFit="1" customWidth="1"/>
    <col min="10" max="10" width="16.7109375" bestFit="1" customWidth="1"/>
    <col min="11" max="11" width="12.140625" bestFit="1" customWidth="1"/>
  </cols>
  <sheetData>
    <row r="1" spans="2:15" ht="22.5">
      <c r="F1" s="16" t="s">
        <v>9</v>
      </c>
    </row>
    <row r="2" spans="2:15" ht="18.75">
      <c r="B2" s="1" t="s">
        <v>8</v>
      </c>
      <c r="C2" t="s">
        <v>7</v>
      </c>
      <c r="D2" t="s">
        <v>6</v>
      </c>
      <c r="E2" s="2"/>
      <c r="G2" s="13"/>
      <c r="H2" s="2"/>
      <c r="I2" s="2"/>
    </row>
    <row r="3" spans="2:15" ht="19.5" thickBot="1">
      <c r="B3">
        <v>504</v>
      </c>
      <c r="C3">
        <v>30</v>
      </c>
      <c r="D3">
        <v>730</v>
      </c>
      <c r="E3" s="2"/>
      <c r="F3" s="13" t="s">
        <v>30</v>
      </c>
      <c r="G3" s="9"/>
      <c r="J3" s="3"/>
      <c r="K3" s="3"/>
    </row>
    <row r="4" spans="2:15" ht="15.75" thickTop="1">
      <c r="E4" s="2"/>
      <c r="F4" s="19"/>
      <c r="G4" s="12" t="s">
        <v>13</v>
      </c>
      <c r="H4" s="14" t="s">
        <v>19</v>
      </c>
      <c r="I4" s="5" t="s">
        <v>20</v>
      </c>
      <c r="J4" s="8" t="s">
        <v>2</v>
      </c>
      <c r="K4" s="28" t="s">
        <v>3</v>
      </c>
    </row>
    <row r="5" spans="2:15" ht="15.75" thickBot="1">
      <c r="E5" s="2"/>
      <c r="F5" s="15" t="s">
        <v>0</v>
      </c>
      <c r="G5" s="18" t="s">
        <v>38</v>
      </c>
      <c r="H5" s="9" t="s">
        <v>10</v>
      </c>
      <c r="I5" s="4" t="s">
        <v>11</v>
      </c>
      <c r="J5" s="12">
        <v>10</v>
      </c>
      <c r="K5" s="17">
        <v>14</v>
      </c>
    </row>
    <row r="6" spans="2:15" ht="15.75" thickTop="1">
      <c r="E6" s="6"/>
      <c r="F6" s="10">
        <v>2</v>
      </c>
      <c r="G6" s="10">
        <f>C43+$F$48</f>
        <v>8</v>
      </c>
      <c r="H6" s="10">
        <v>0</v>
      </c>
      <c r="I6" s="26">
        <v>0</v>
      </c>
      <c r="J6" s="10">
        <f>H6-(2*$C$3*($D$3*24*60)/($B$3*60))</f>
        <v>-2085.7142857142858</v>
      </c>
      <c r="K6" s="29">
        <f>I6-(2*$C$3*($D$3*24*60)/($B$3*60))</f>
        <v>-2085.7142857142858</v>
      </c>
    </row>
    <row r="7" spans="2:15">
      <c r="E7" s="6"/>
      <c r="F7" s="11">
        <v>3</v>
      </c>
      <c r="G7" s="11">
        <f t="shared" ref="G7:G19" si="0">C44+$F$48</f>
        <v>10</v>
      </c>
      <c r="H7" s="11">
        <v>0</v>
      </c>
      <c r="I7" s="11">
        <v>0</v>
      </c>
      <c r="J7" s="11">
        <f t="shared" ref="J7:J19" si="1">H7-(2*$C$3*($D$3*24*60)/($B$3*60))</f>
        <v>-2085.7142857142858</v>
      </c>
      <c r="K7" s="30">
        <f t="shared" ref="K7:K19" si="2">I7-(2*$C$3*($D$3*24*60)/($B$3*60))</f>
        <v>-2085.7142857142858</v>
      </c>
    </row>
    <row r="8" spans="2:15">
      <c r="E8" s="6"/>
      <c r="F8" s="11">
        <v>4</v>
      </c>
      <c r="G8" s="11">
        <f t="shared" si="0"/>
        <v>12</v>
      </c>
      <c r="H8" s="11">
        <f t="shared" ref="H8" si="3">2^(G8-$J$5)</f>
        <v>4</v>
      </c>
      <c r="I8" s="27">
        <v>0</v>
      </c>
      <c r="J8" s="11">
        <f t="shared" si="1"/>
        <v>-2081.7142857142858</v>
      </c>
      <c r="K8" s="30">
        <f t="shared" si="2"/>
        <v>-2085.7142857142858</v>
      </c>
    </row>
    <row r="9" spans="2:15">
      <c r="E9" s="6"/>
      <c r="F9" s="11">
        <v>5</v>
      </c>
      <c r="G9" s="11">
        <f t="shared" si="0"/>
        <v>13</v>
      </c>
      <c r="H9" s="11">
        <f t="shared" ref="H9:H14" si="4">2^(G9-$J$5)</f>
        <v>8</v>
      </c>
      <c r="I9" s="27">
        <v>0</v>
      </c>
      <c r="J9" s="11">
        <f t="shared" si="1"/>
        <v>-2077.7142857142858</v>
      </c>
      <c r="K9" s="30">
        <f t="shared" si="2"/>
        <v>-2085.7142857142858</v>
      </c>
    </row>
    <row r="10" spans="2:15">
      <c r="E10" s="6"/>
      <c r="F10" s="11">
        <v>6</v>
      </c>
      <c r="G10" s="11">
        <f t="shared" si="0"/>
        <v>14</v>
      </c>
      <c r="H10" s="11">
        <f t="shared" si="4"/>
        <v>16</v>
      </c>
      <c r="I10" s="11">
        <v>0</v>
      </c>
      <c r="J10" s="11">
        <f t="shared" si="1"/>
        <v>-2069.7142857142858</v>
      </c>
      <c r="K10" s="30">
        <f t="shared" si="2"/>
        <v>-2085.7142857142858</v>
      </c>
    </row>
    <row r="11" spans="2:15">
      <c r="E11" s="6"/>
      <c r="F11" s="11">
        <v>7</v>
      </c>
      <c r="G11" s="11">
        <f t="shared" si="0"/>
        <v>15</v>
      </c>
      <c r="H11" s="11">
        <f t="shared" si="4"/>
        <v>32</v>
      </c>
      <c r="I11" s="11">
        <f>2^(-$K$5+G11)</f>
        <v>2</v>
      </c>
      <c r="J11" s="11">
        <f t="shared" si="1"/>
        <v>-2053.7142857142858</v>
      </c>
      <c r="K11" s="30">
        <f t="shared" si="2"/>
        <v>-2083.7142857142858</v>
      </c>
    </row>
    <row r="12" spans="2:15">
      <c r="E12" s="6"/>
      <c r="F12" s="21">
        <v>8</v>
      </c>
      <c r="G12" s="22">
        <f t="shared" si="0"/>
        <v>16</v>
      </c>
      <c r="H12" s="22">
        <f t="shared" si="4"/>
        <v>64</v>
      </c>
      <c r="I12" s="22">
        <f>2^(-$K$5+G12)</f>
        <v>4</v>
      </c>
      <c r="J12" s="22">
        <f t="shared" si="1"/>
        <v>-2021.7142857142858</v>
      </c>
      <c r="K12" s="31">
        <f t="shared" si="2"/>
        <v>-2081.7142857142858</v>
      </c>
    </row>
    <row r="13" spans="2:15">
      <c r="E13" s="6"/>
      <c r="F13" s="20">
        <v>9</v>
      </c>
      <c r="G13" s="20">
        <f t="shared" si="0"/>
        <v>17</v>
      </c>
      <c r="H13" s="20">
        <f t="shared" si="4"/>
        <v>128</v>
      </c>
      <c r="I13" s="20">
        <f>2^(-$K$5+G13)</f>
        <v>8</v>
      </c>
      <c r="J13" s="20">
        <f t="shared" si="1"/>
        <v>-1957.7142857142858</v>
      </c>
      <c r="K13" s="32">
        <f t="shared" si="2"/>
        <v>-2077.7142857142858</v>
      </c>
    </row>
    <row r="14" spans="2:15">
      <c r="E14" s="6"/>
      <c r="F14" s="20">
        <v>10</v>
      </c>
      <c r="G14" s="20">
        <f t="shared" si="0"/>
        <v>18</v>
      </c>
      <c r="H14" s="20">
        <f t="shared" si="4"/>
        <v>256</v>
      </c>
      <c r="I14" s="20">
        <f>2^(-$K$5+G14)</f>
        <v>16</v>
      </c>
      <c r="J14" s="20">
        <f t="shared" si="1"/>
        <v>-1829.7142857142858</v>
      </c>
      <c r="K14" s="32">
        <f t="shared" si="2"/>
        <v>-2069.7142857142858</v>
      </c>
    </row>
    <row r="15" spans="2:15">
      <c r="E15" s="6"/>
      <c r="F15" s="20">
        <v>11</v>
      </c>
      <c r="G15" s="20">
        <f t="shared" si="0"/>
        <v>19</v>
      </c>
      <c r="H15" s="20">
        <f t="shared" ref="H15:H19" si="5">2^(G15-$J$5)</f>
        <v>512</v>
      </c>
      <c r="I15" s="20">
        <f t="shared" ref="I15:I16" si="6">2^(-$K$5+G15)</f>
        <v>32</v>
      </c>
      <c r="J15" s="20">
        <f t="shared" si="1"/>
        <v>-1573.7142857142858</v>
      </c>
      <c r="K15" s="32">
        <f t="shared" si="2"/>
        <v>-2053.7142857142858</v>
      </c>
    </row>
    <row r="16" spans="2:15">
      <c r="E16" s="6"/>
      <c r="F16" s="11">
        <v>12</v>
      </c>
      <c r="G16" s="11">
        <f t="shared" si="0"/>
        <v>20</v>
      </c>
      <c r="H16" s="11">
        <f t="shared" si="5"/>
        <v>1024</v>
      </c>
      <c r="I16" s="20">
        <f t="shared" si="6"/>
        <v>64</v>
      </c>
      <c r="J16" s="11">
        <f t="shared" si="1"/>
        <v>-1061.7142857142858</v>
      </c>
      <c r="K16" s="30">
        <f t="shared" si="2"/>
        <v>-2021.7142857142858</v>
      </c>
      <c r="O16" s="34"/>
    </row>
    <row r="17" spans="2:13">
      <c r="E17" s="23"/>
      <c r="F17" s="11">
        <v>13</v>
      </c>
      <c r="G17" s="11">
        <f t="shared" si="0"/>
        <v>21</v>
      </c>
      <c r="H17" s="11">
        <f t="shared" si="5"/>
        <v>2048</v>
      </c>
      <c r="I17" s="11">
        <f>2^(-$K$5+G17)</f>
        <v>128</v>
      </c>
      <c r="J17" s="11">
        <f t="shared" si="1"/>
        <v>-37.714285714285779</v>
      </c>
      <c r="K17" s="30">
        <f t="shared" si="2"/>
        <v>-1957.7142857142858</v>
      </c>
      <c r="M17" s="24"/>
    </row>
    <row r="18" spans="2:13">
      <c r="E18" s="23"/>
      <c r="F18" s="11">
        <v>14</v>
      </c>
      <c r="G18" s="11">
        <f t="shared" si="0"/>
        <v>22</v>
      </c>
      <c r="H18" s="11">
        <f t="shared" si="5"/>
        <v>4096</v>
      </c>
      <c r="I18" s="11">
        <f>2^(-$K$5+G18)</f>
        <v>256</v>
      </c>
      <c r="J18" s="11">
        <f t="shared" si="1"/>
        <v>2010.2857142857142</v>
      </c>
      <c r="K18" s="30">
        <f t="shared" si="2"/>
        <v>-1829.7142857142858</v>
      </c>
      <c r="M18" s="24"/>
    </row>
    <row r="19" spans="2:13" ht="15.75" thickBot="1">
      <c r="E19" s="23"/>
      <c r="F19" s="9">
        <v>15</v>
      </c>
      <c r="G19" s="9">
        <f t="shared" si="0"/>
        <v>23</v>
      </c>
      <c r="H19" s="9">
        <f t="shared" si="5"/>
        <v>8192</v>
      </c>
      <c r="I19" s="9">
        <f>2^(-$K$5+G19)</f>
        <v>512</v>
      </c>
      <c r="J19" s="9">
        <f t="shared" si="1"/>
        <v>6106.2857142857138</v>
      </c>
      <c r="K19" s="17">
        <f t="shared" si="2"/>
        <v>-1573.7142857142858</v>
      </c>
      <c r="M19" s="24"/>
    </row>
    <row r="20" spans="2:13" ht="15.75" thickTop="1">
      <c r="E20" s="24"/>
      <c r="F20" s="2"/>
      <c r="M20" s="24"/>
    </row>
    <row r="21" spans="2:13">
      <c r="E21" s="24"/>
      <c r="F21" s="2"/>
      <c r="M21" s="24"/>
    </row>
    <row r="22" spans="2:13">
      <c r="E22" s="24"/>
      <c r="F22" s="2"/>
      <c r="M22" s="24"/>
    </row>
    <row r="23" spans="2:13">
      <c r="E23" s="24"/>
      <c r="F23" s="2"/>
      <c r="M23" s="24"/>
    </row>
    <row r="24" spans="2:13">
      <c r="B24" s="2" t="s">
        <v>4</v>
      </c>
      <c r="E24" s="24"/>
      <c r="F24" s="2"/>
      <c r="M24" s="24"/>
    </row>
    <row r="25" spans="2:13">
      <c r="B25" s="2" t="s">
        <v>1</v>
      </c>
      <c r="E25" s="24"/>
      <c r="F25" s="2"/>
      <c r="M25" s="24"/>
    </row>
    <row r="26" spans="2:13">
      <c r="B26" s="2" t="s">
        <v>5</v>
      </c>
      <c r="E26" s="24"/>
      <c r="F26" s="2"/>
      <c r="M26" s="24"/>
    </row>
    <row r="27" spans="2:13">
      <c r="E27" s="24"/>
      <c r="F27" s="2"/>
      <c r="M27" s="24"/>
    </row>
    <row r="28" spans="2:13">
      <c r="B28" t="s">
        <v>17</v>
      </c>
      <c r="C28" s="33">
        <f>1/60</f>
        <v>1.6666666666666666E-2</v>
      </c>
      <c r="E28" s="24"/>
      <c r="F28" s="2"/>
      <c r="M28" s="24"/>
    </row>
    <row r="29" spans="2:13">
      <c r="B29" t="s">
        <v>18</v>
      </c>
      <c r="C29">
        <f>5/60</f>
        <v>8.3333333333333329E-2</v>
      </c>
      <c r="E29" s="24"/>
      <c r="F29" s="2"/>
      <c r="M29" s="24"/>
    </row>
    <row r="30" spans="2:13">
      <c r="E30" s="24"/>
      <c r="F30" s="2"/>
      <c r="G30" s="2"/>
      <c r="M30" s="24"/>
    </row>
    <row r="31" spans="2:13">
      <c r="B31" t="s">
        <v>28</v>
      </c>
      <c r="C31" t="s">
        <v>29</v>
      </c>
      <c r="M31" s="24"/>
    </row>
    <row r="32" spans="2:13">
      <c r="C32" t="s">
        <v>40</v>
      </c>
      <c r="M32" s="24"/>
    </row>
    <row r="33" spans="2:13">
      <c r="E33" s="24"/>
      <c r="F33" s="2"/>
      <c r="M33" s="24"/>
    </row>
    <row r="34" spans="2:13">
      <c r="E34" s="24"/>
      <c r="F34" s="2"/>
      <c r="M34" s="24"/>
    </row>
    <row r="35" spans="2:13">
      <c r="E35" s="24"/>
      <c r="F35" s="2"/>
      <c r="M35" s="24"/>
    </row>
    <row r="36" spans="2:13">
      <c r="E36" s="24"/>
      <c r="F36" s="2"/>
      <c r="M36" s="24"/>
    </row>
    <row r="37" spans="2:13">
      <c r="F37" s="2"/>
    </row>
    <row r="40" spans="2:13">
      <c r="B40" t="s">
        <v>25</v>
      </c>
    </row>
    <row r="41" spans="2:13">
      <c r="F41" t="s">
        <v>36</v>
      </c>
      <c r="G41" t="s">
        <v>37</v>
      </c>
    </row>
    <row r="42" spans="2:13">
      <c r="B42" t="s">
        <v>26</v>
      </c>
      <c r="C42" t="s">
        <v>27</v>
      </c>
      <c r="F42">
        <v>-3</v>
      </c>
      <c r="G42" t="s">
        <v>31</v>
      </c>
    </row>
    <row r="43" spans="2:13">
      <c r="B43">
        <v>2</v>
      </c>
      <c r="C43" s="35">
        <v>5</v>
      </c>
      <c r="F43">
        <v>1</v>
      </c>
      <c r="G43" t="s">
        <v>32</v>
      </c>
    </row>
    <row r="44" spans="2:13">
      <c r="B44">
        <v>3</v>
      </c>
      <c r="C44" s="35">
        <v>7</v>
      </c>
      <c r="F44">
        <v>1</v>
      </c>
      <c r="G44" t="s">
        <v>33</v>
      </c>
    </row>
    <row r="45" spans="2:13">
      <c r="B45">
        <v>4</v>
      </c>
      <c r="C45" s="35">
        <v>9</v>
      </c>
      <c r="F45" t="s">
        <v>35</v>
      </c>
      <c r="G45" t="s">
        <v>34</v>
      </c>
    </row>
    <row r="46" spans="2:13">
      <c r="B46">
        <v>5</v>
      </c>
      <c r="C46" s="35">
        <v>10</v>
      </c>
    </row>
    <row r="47" spans="2:13">
      <c r="B47">
        <v>6</v>
      </c>
      <c r="C47" s="35">
        <v>11</v>
      </c>
    </row>
    <row r="48" spans="2:13">
      <c r="B48">
        <v>7</v>
      </c>
      <c r="C48" s="35">
        <v>12</v>
      </c>
      <c r="F48" s="36">
        <v>3</v>
      </c>
      <c r="G48" s="36" t="s">
        <v>39</v>
      </c>
    </row>
    <row r="49" spans="2:3">
      <c r="B49">
        <v>8</v>
      </c>
      <c r="C49" s="35">
        <v>13</v>
      </c>
    </row>
    <row r="50" spans="2:3">
      <c r="B50">
        <v>9</v>
      </c>
      <c r="C50" s="35">
        <v>14</v>
      </c>
    </row>
    <row r="51" spans="2:3">
      <c r="B51">
        <v>10</v>
      </c>
      <c r="C51" s="35">
        <v>15</v>
      </c>
    </row>
    <row r="52" spans="2:3">
      <c r="B52">
        <v>11</v>
      </c>
      <c r="C52" s="35">
        <v>16</v>
      </c>
    </row>
    <row r="53" spans="2:3">
      <c r="B53">
        <v>12</v>
      </c>
      <c r="C53" s="35">
        <v>17</v>
      </c>
    </row>
    <row r="54" spans="2:3">
      <c r="B54">
        <v>13</v>
      </c>
      <c r="C54" s="35">
        <v>18</v>
      </c>
    </row>
    <row r="55" spans="2:3">
      <c r="B55">
        <v>14</v>
      </c>
      <c r="C55" s="35">
        <v>19</v>
      </c>
    </row>
    <row r="56" spans="2:3">
      <c r="B56">
        <v>15</v>
      </c>
      <c r="C56" s="35">
        <v>20</v>
      </c>
    </row>
  </sheetData>
  <conditionalFormatting sqref="J6:J19">
    <cfRule type="expression" dxfId="28" priority="6">
      <formula>(J6&gt;0)</formula>
    </cfRule>
  </conditionalFormatting>
  <conditionalFormatting sqref="K6:K19">
    <cfRule type="expression" dxfId="27" priority="5">
      <formula>(K6&gt;0)</formula>
    </cfRule>
  </conditionalFormatting>
  <conditionalFormatting sqref="J6:K19">
    <cfRule type="expression" dxfId="26" priority="4">
      <formula xml:space="preserve"> (J6&lt;0)</formula>
    </cfRule>
  </conditionalFormatting>
  <pageMargins left="0.38" right="0.37" top="0.75" bottom="0.41" header="0.3" footer="0.3"/>
  <pageSetup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Random(Non-User)</vt:lpstr>
      <vt:lpstr>User_selected(2)</vt:lpstr>
      <vt:lpstr>94characters</vt:lpstr>
      <vt:lpstr>10 characters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Entropenator</dc:title>
  <dc:subject>Password entropy</dc:subject>
  <dc:creator>Thomas P. Callaci</dc:creator>
  <dc:description>Thomas P. Callaci  University of Wisconsin - Madison
Based on NIST 800-63
See also http://www.incommonfederation.org/ and "Silver"</dc:description>
  <cp:lastModifiedBy>callaci</cp:lastModifiedBy>
  <cp:lastPrinted>2010-06-02T15:04:01Z</cp:lastPrinted>
  <dcterms:created xsi:type="dcterms:W3CDTF">2010-04-30T20:37:07Z</dcterms:created>
  <dcterms:modified xsi:type="dcterms:W3CDTF">2011-08-10T21:20:47Z</dcterms:modified>
</cp:coreProperties>
</file>